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19320" windowHeight="8820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Arkusz1!$A$50:$BF$109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28" i="1" l="1"/>
  <c r="AH127" i="1"/>
  <c r="AH126" i="1"/>
  <c r="AH110" i="1"/>
  <c r="AH109" i="1"/>
  <c r="AH116" i="1"/>
  <c r="AH114" i="1"/>
  <c r="AH112" i="1"/>
  <c r="AH111" i="1"/>
  <c r="AH108" i="1"/>
  <c r="BM113" i="1"/>
  <c r="BM112" i="1"/>
  <c r="BM111" i="1"/>
  <c r="BM110" i="1"/>
  <c r="BM109" i="1"/>
  <c r="BM108" i="1"/>
  <c r="AX107" i="1"/>
  <c r="AY107" i="1"/>
  <c r="BC107" i="1"/>
  <c r="BD107" i="1"/>
  <c r="BA108" i="1"/>
  <c r="BB108" i="1"/>
  <c r="BB109" i="1"/>
  <c r="BA111" i="1"/>
  <c r="BB111" i="1"/>
  <c r="BA112" i="1"/>
  <c r="BB112" i="1"/>
  <c r="BA113" i="1"/>
  <c r="BB113" i="1"/>
  <c r="BL53" i="1"/>
  <c r="BL54" i="1"/>
  <c r="BL55" i="1"/>
  <c r="BL56" i="1"/>
  <c r="BL57" i="1"/>
  <c r="BL58" i="1"/>
  <c r="BL59" i="1"/>
  <c r="BL60" i="1"/>
  <c r="BL61" i="1"/>
  <c r="BL62" i="1"/>
  <c r="BL109" i="1" s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99" i="1"/>
  <c r="BL111" i="1" s="1"/>
  <c r="BL100" i="1"/>
  <c r="BL112" i="1" s="1"/>
  <c r="BL101" i="1"/>
  <c r="BL113" i="1" s="1"/>
  <c r="BL102" i="1"/>
  <c r="BL103" i="1"/>
  <c r="BL104" i="1"/>
  <c r="BL52" i="1"/>
  <c r="BK53" i="1"/>
  <c r="BM53" i="1" s="1"/>
  <c r="BK54" i="1"/>
  <c r="BM54" i="1" s="1"/>
  <c r="BK55" i="1"/>
  <c r="BM55" i="1" s="1"/>
  <c r="BK56" i="1"/>
  <c r="BM56" i="1" s="1"/>
  <c r="BK57" i="1"/>
  <c r="BM57" i="1" s="1"/>
  <c r="BK58" i="1"/>
  <c r="BM58" i="1" s="1"/>
  <c r="BK59" i="1"/>
  <c r="BM59" i="1" s="1"/>
  <c r="BK60" i="1"/>
  <c r="BM60" i="1" s="1"/>
  <c r="BK61" i="1"/>
  <c r="BM61" i="1" s="1"/>
  <c r="BK62" i="1"/>
  <c r="BM62" i="1" s="1"/>
  <c r="BK63" i="1"/>
  <c r="BM63" i="1" s="1"/>
  <c r="BK64" i="1"/>
  <c r="BM64" i="1" s="1"/>
  <c r="BK65" i="1"/>
  <c r="BM65" i="1" s="1"/>
  <c r="BK66" i="1"/>
  <c r="BM66" i="1" s="1"/>
  <c r="BK67" i="1"/>
  <c r="BM67" i="1" s="1"/>
  <c r="BK68" i="1"/>
  <c r="BM68" i="1" s="1"/>
  <c r="BK69" i="1"/>
  <c r="BM69" i="1" s="1"/>
  <c r="BK70" i="1"/>
  <c r="BM70" i="1" s="1"/>
  <c r="BK71" i="1"/>
  <c r="BM71" i="1" s="1"/>
  <c r="BK72" i="1"/>
  <c r="BM72" i="1" s="1"/>
  <c r="BK73" i="1"/>
  <c r="BM73" i="1" s="1"/>
  <c r="BK75" i="1"/>
  <c r="BM75" i="1" s="1"/>
  <c r="BK77" i="1"/>
  <c r="BM77" i="1" s="1"/>
  <c r="BK78" i="1"/>
  <c r="BM78" i="1" s="1"/>
  <c r="BK79" i="1"/>
  <c r="BM79" i="1" s="1"/>
  <c r="BK80" i="1"/>
  <c r="BM80" i="1" s="1"/>
  <c r="BK81" i="1"/>
  <c r="BM81" i="1" s="1"/>
  <c r="BK99" i="1"/>
  <c r="BM99" i="1" s="1"/>
  <c r="BK100" i="1"/>
  <c r="BM100" i="1" s="1"/>
  <c r="BK101" i="1"/>
  <c r="BM101" i="1" s="1"/>
  <c r="BK102" i="1"/>
  <c r="BM102" i="1" s="1"/>
  <c r="BK103" i="1"/>
  <c r="BM103" i="1" s="1"/>
  <c r="BK104" i="1"/>
  <c r="BM104" i="1" s="1"/>
  <c r="BK52" i="1"/>
  <c r="BM52" i="1" s="1"/>
  <c r="AW53" i="1"/>
  <c r="AW54" i="1"/>
  <c r="AW55" i="1"/>
  <c r="AW56" i="1"/>
  <c r="AW57" i="1"/>
  <c r="AW58" i="1"/>
  <c r="AW59" i="1"/>
  <c r="AW60" i="1"/>
  <c r="AW61" i="1"/>
  <c r="AW62" i="1"/>
  <c r="AW109" i="1" s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99" i="1"/>
  <c r="AW111" i="1" s="1"/>
  <c r="AW100" i="1"/>
  <c r="AW112" i="1" s="1"/>
  <c r="AW101" i="1"/>
  <c r="AW113" i="1" s="1"/>
  <c r="AW102" i="1"/>
  <c r="AW103" i="1"/>
  <c r="AW104" i="1"/>
  <c r="AW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5" i="1"/>
  <c r="AV77" i="1"/>
  <c r="AV78" i="1"/>
  <c r="AV79" i="1"/>
  <c r="AV80" i="1"/>
  <c r="AV81" i="1"/>
  <c r="AV99" i="1"/>
  <c r="AV111" i="1" s="1"/>
  <c r="AV100" i="1"/>
  <c r="AV112" i="1" s="1"/>
  <c r="AV101" i="1"/>
  <c r="AV113" i="1" s="1"/>
  <c r="AV102" i="1"/>
  <c r="AV104" i="1"/>
  <c r="AV52" i="1"/>
  <c r="BK113" i="1" l="1"/>
  <c r="BK112" i="1"/>
  <c r="BK111" i="1"/>
  <c r="BK108" i="1"/>
  <c r="AV108" i="1"/>
  <c r="BL108" i="1"/>
  <c r="AW108" i="1"/>
  <c r="AH122" i="1"/>
  <c r="BE104" i="1"/>
  <c r="BB98" i="1"/>
  <c r="BA98" i="1"/>
  <c r="BB97" i="1"/>
  <c r="BA97" i="1"/>
  <c r="BB96" i="1"/>
  <c r="BA96" i="1"/>
  <c r="BB95" i="1"/>
  <c r="BA95" i="1"/>
  <c r="BB94" i="1"/>
  <c r="BA94" i="1"/>
  <c r="BB93" i="1"/>
  <c r="BA93" i="1"/>
  <c r="BB92" i="1"/>
  <c r="BA92" i="1"/>
  <c r="BB91" i="1"/>
  <c r="BA91" i="1"/>
  <c r="BB90" i="1"/>
  <c r="BA90" i="1"/>
  <c r="BB89" i="1"/>
  <c r="BA89" i="1"/>
  <c r="BB88" i="1"/>
  <c r="BA88" i="1"/>
  <c r="BB87" i="1"/>
  <c r="BA87" i="1"/>
  <c r="BB86" i="1"/>
  <c r="BA86" i="1"/>
  <c r="BB85" i="1"/>
  <c r="BA85" i="1"/>
  <c r="BB84" i="1"/>
  <c r="BA84" i="1"/>
  <c r="BB83" i="1"/>
  <c r="BA83" i="1"/>
  <c r="BB82" i="1"/>
  <c r="BA82" i="1"/>
  <c r="BE81" i="1"/>
  <c r="AZ81" i="1"/>
  <c r="BA74" i="1"/>
  <c r="BE80" i="1"/>
  <c r="BA76" i="1"/>
  <c r="BE79" i="1"/>
  <c r="BE100" i="1"/>
  <c r="BE112" i="1" s="1"/>
  <c r="AZ104" i="1"/>
  <c r="BE103" i="1"/>
  <c r="BE102" i="1"/>
  <c r="BE101" i="1"/>
  <c r="BE99" i="1"/>
  <c r="BE111" i="1" s="1"/>
  <c r="BE96" i="1"/>
  <c r="BE92" i="1"/>
  <c r="BE88" i="1"/>
  <c r="BE84" i="1"/>
  <c r="BE78" i="1"/>
  <c r="BE77" i="1"/>
  <c r="BE75" i="1"/>
  <c r="BE73" i="1"/>
  <c r="BE72" i="1"/>
  <c r="BE71" i="1"/>
  <c r="BE70" i="1"/>
  <c r="BE69" i="1"/>
  <c r="BE68" i="1"/>
  <c r="BE67" i="1"/>
  <c r="BE66" i="1"/>
  <c r="BE65" i="1"/>
  <c r="BE64" i="1"/>
  <c r="BE63" i="1"/>
  <c r="BE62" i="1"/>
  <c r="BE60" i="1"/>
  <c r="BE59" i="1"/>
  <c r="BE58" i="1"/>
  <c r="BE57" i="1"/>
  <c r="BE56" i="1"/>
  <c r="BE55" i="1"/>
  <c r="BE54" i="1"/>
  <c r="BE53" i="1"/>
  <c r="BE52" i="1"/>
  <c r="BE61" i="1"/>
  <c r="AZ70" i="1"/>
  <c r="AZ61" i="1"/>
  <c r="AZ103" i="1"/>
  <c r="AZ102" i="1"/>
  <c r="AZ101" i="1"/>
  <c r="AZ99" i="1"/>
  <c r="AZ78" i="1"/>
  <c r="AZ77" i="1"/>
  <c r="AZ75" i="1"/>
  <c r="AZ73" i="1"/>
  <c r="AZ72" i="1"/>
  <c r="AZ71" i="1"/>
  <c r="AZ68" i="1"/>
  <c r="AZ67" i="1"/>
  <c r="AZ66" i="1"/>
  <c r="AZ65" i="1"/>
  <c r="AZ64" i="1"/>
  <c r="AZ63" i="1"/>
  <c r="AZ62" i="1"/>
  <c r="AZ60" i="1"/>
  <c r="AZ59" i="1"/>
  <c r="AZ58" i="1"/>
  <c r="AZ57" i="1"/>
  <c r="AZ56" i="1"/>
  <c r="AZ55" i="1"/>
  <c r="AZ54" i="1"/>
  <c r="AZ53" i="1"/>
  <c r="AZ52" i="1"/>
  <c r="AZ69" i="1"/>
  <c r="BD115" i="1"/>
  <c r="BC115" i="1"/>
  <c r="AY115" i="1"/>
  <c r="AX115" i="1"/>
  <c r="AZ113" i="1" l="1"/>
  <c r="AH113" i="1" s="1"/>
  <c r="BE108" i="1"/>
  <c r="BK82" i="1"/>
  <c r="BA110" i="1"/>
  <c r="AZ108" i="1"/>
  <c r="AZ111" i="1"/>
  <c r="AH119" i="1" s="1"/>
  <c r="BE113" i="1"/>
  <c r="AH121" i="1" s="1"/>
  <c r="BA107" i="1"/>
  <c r="BA109" i="1"/>
  <c r="BL82" i="1"/>
  <c r="BB107" i="1"/>
  <c r="BB110" i="1"/>
  <c r="AV83" i="1"/>
  <c r="BK83" i="1"/>
  <c r="AV84" i="1"/>
  <c r="BK84" i="1"/>
  <c r="AV85" i="1"/>
  <c r="BK85" i="1"/>
  <c r="AV86" i="1"/>
  <c r="BK86" i="1"/>
  <c r="AV87" i="1"/>
  <c r="BK87" i="1"/>
  <c r="AV88" i="1"/>
  <c r="BK88" i="1"/>
  <c r="AV89" i="1"/>
  <c r="BK89" i="1"/>
  <c r="AV90" i="1"/>
  <c r="BK90" i="1"/>
  <c r="AV91" i="1"/>
  <c r="BK91" i="1"/>
  <c r="AV92" i="1"/>
  <c r="BK92" i="1"/>
  <c r="AV93" i="1"/>
  <c r="BK93" i="1"/>
  <c r="AV94" i="1"/>
  <c r="BK94" i="1"/>
  <c r="AV95" i="1"/>
  <c r="BK95" i="1"/>
  <c r="AV96" i="1"/>
  <c r="BK96" i="1"/>
  <c r="AV97" i="1"/>
  <c r="BK97" i="1"/>
  <c r="AV98" i="1"/>
  <c r="BK98" i="1"/>
  <c r="BE82" i="1"/>
  <c r="BE86" i="1"/>
  <c r="BE90" i="1"/>
  <c r="BE94" i="1"/>
  <c r="BE98" i="1"/>
  <c r="AV76" i="1"/>
  <c r="AZ76" i="1" s="1"/>
  <c r="BK76" i="1"/>
  <c r="BM76" i="1" s="1"/>
  <c r="BE74" i="1"/>
  <c r="BE107" i="1" s="1"/>
  <c r="BK74" i="1"/>
  <c r="AW83" i="1"/>
  <c r="BL83" i="1"/>
  <c r="AW84" i="1"/>
  <c r="BL84" i="1"/>
  <c r="AW85" i="1"/>
  <c r="BL85" i="1"/>
  <c r="AW86" i="1"/>
  <c r="BL86" i="1"/>
  <c r="AW87" i="1"/>
  <c r="BL87" i="1"/>
  <c r="AW88" i="1"/>
  <c r="BL88" i="1"/>
  <c r="AW89" i="1"/>
  <c r="BL89" i="1"/>
  <c r="AW90" i="1"/>
  <c r="BL90" i="1"/>
  <c r="AW91" i="1"/>
  <c r="BL91" i="1"/>
  <c r="AW92" i="1"/>
  <c r="BL92" i="1"/>
  <c r="AW93" i="1"/>
  <c r="BL93" i="1"/>
  <c r="AW94" i="1"/>
  <c r="BL94" i="1"/>
  <c r="AW95" i="1"/>
  <c r="BL95" i="1"/>
  <c r="AW96" i="1"/>
  <c r="BL96" i="1"/>
  <c r="AW97" i="1"/>
  <c r="BL97" i="1"/>
  <c r="AW98" i="1"/>
  <c r="BL98" i="1"/>
  <c r="BE76" i="1"/>
  <c r="BE83" i="1"/>
  <c r="BE85" i="1"/>
  <c r="BE87" i="1"/>
  <c r="BE89" i="1"/>
  <c r="BE91" i="1"/>
  <c r="BE93" i="1"/>
  <c r="BE95" i="1"/>
  <c r="BE97" i="1"/>
  <c r="AV74" i="1"/>
  <c r="AW82" i="1"/>
  <c r="AV82" i="1"/>
  <c r="AV110" i="1" s="1"/>
  <c r="AZ80" i="1"/>
  <c r="AH130" i="1"/>
  <c r="AZ100" i="1"/>
  <c r="AZ79" i="1"/>
  <c r="BI104" i="1"/>
  <c r="BH104" i="1"/>
  <c r="BG104" i="1"/>
  <c r="BF104" i="1"/>
  <c r="BI103" i="1"/>
  <c r="BH103" i="1"/>
  <c r="BG103" i="1"/>
  <c r="BF103" i="1"/>
  <c r="BI102" i="1"/>
  <c r="BH102" i="1"/>
  <c r="BG102" i="1"/>
  <c r="BF102" i="1"/>
  <c r="BI101" i="1"/>
  <c r="BH101" i="1"/>
  <c r="BG101" i="1"/>
  <c r="BF101" i="1"/>
  <c r="BI99" i="1"/>
  <c r="BH99" i="1"/>
  <c r="BG99" i="1"/>
  <c r="BF99" i="1"/>
  <c r="BI98" i="1"/>
  <c r="BH98" i="1"/>
  <c r="BG98" i="1"/>
  <c r="BF98" i="1"/>
  <c r="BI97" i="1"/>
  <c r="BH97" i="1"/>
  <c r="BG97" i="1"/>
  <c r="BF97" i="1"/>
  <c r="BI96" i="1"/>
  <c r="BH96" i="1"/>
  <c r="BG96" i="1"/>
  <c r="BF96" i="1"/>
  <c r="BI95" i="1"/>
  <c r="BH95" i="1"/>
  <c r="BG95" i="1"/>
  <c r="BF95" i="1"/>
  <c r="BI94" i="1"/>
  <c r="BH94" i="1"/>
  <c r="BG94" i="1"/>
  <c r="BF94" i="1"/>
  <c r="BI93" i="1"/>
  <c r="BH93" i="1"/>
  <c r="BG93" i="1"/>
  <c r="BF93" i="1"/>
  <c r="BI92" i="1"/>
  <c r="BH92" i="1"/>
  <c r="BG92" i="1"/>
  <c r="BF92" i="1"/>
  <c r="BI91" i="1"/>
  <c r="BH91" i="1"/>
  <c r="BG91" i="1"/>
  <c r="BF91" i="1"/>
  <c r="BI90" i="1"/>
  <c r="BH90" i="1"/>
  <c r="BG90" i="1"/>
  <c r="BF90" i="1"/>
  <c r="BI89" i="1"/>
  <c r="BH89" i="1"/>
  <c r="BG89" i="1"/>
  <c r="BF89" i="1"/>
  <c r="BI88" i="1"/>
  <c r="BH88" i="1"/>
  <c r="BG88" i="1"/>
  <c r="BF88" i="1"/>
  <c r="BI87" i="1"/>
  <c r="BH87" i="1"/>
  <c r="BG87" i="1"/>
  <c r="BF87" i="1"/>
  <c r="BI86" i="1"/>
  <c r="BH86" i="1"/>
  <c r="BG86" i="1"/>
  <c r="BF86" i="1"/>
  <c r="BI85" i="1"/>
  <c r="BH85" i="1"/>
  <c r="BG85" i="1"/>
  <c r="BF85" i="1"/>
  <c r="BI84" i="1"/>
  <c r="BH84" i="1"/>
  <c r="BG84" i="1"/>
  <c r="BF84" i="1"/>
  <c r="BI83" i="1"/>
  <c r="BH83" i="1"/>
  <c r="BG83" i="1"/>
  <c r="BF83" i="1"/>
  <c r="BI82" i="1"/>
  <c r="BH82" i="1"/>
  <c r="BG82" i="1"/>
  <c r="BF82" i="1"/>
  <c r="BI78" i="1"/>
  <c r="BH78" i="1"/>
  <c r="BG78" i="1"/>
  <c r="BF78" i="1"/>
  <c r="BI77" i="1"/>
  <c r="BH77" i="1"/>
  <c r="BG77" i="1"/>
  <c r="BF77" i="1"/>
  <c r="BI76" i="1"/>
  <c r="BH76" i="1"/>
  <c r="BG76" i="1"/>
  <c r="BF76" i="1"/>
  <c r="BI75" i="1"/>
  <c r="BH75" i="1"/>
  <c r="BG75" i="1"/>
  <c r="BF75" i="1"/>
  <c r="BI74" i="1"/>
  <c r="BH74" i="1"/>
  <c r="BG74" i="1"/>
  <c r="BF74" i="1"/>
  <c r="BI73" i="1"/>
  <c r="BH73" i="1"/>
  <c r="BG73" i="1"/>
  <c r="BF73" i="1"/>
  <c r="BI72" i="1"/>
  <c r="BH72" i="1"/>
  <c r="BG72" i="1"/>
  <c r="BF72" i="1"/>
  <c r="BI71" i="1"/>
  <c r="BH71" i="1"/>
  <c r="BG71" i="1"/>
  <c r="BF71" i="1"/>
  <c r="BI70" i="1"/>
  <c r="BH70" i="1"/>
  <c r="BG70" i="1"/>
  <c r="BF70" i="1"/>
  <c r="BI69" i="1"/>
  <c r="BH69" i="1"/>
  <c r="BG69" i="1"/>
  <c r="BF69" i="1"/>
  <c r="BI68" i="1"/>
  <c r="BH68" i="1"/>
  <c r="BG68" i="1"/>
  <c r="BF68" i="1"/>
  <c r="BI67" i="1"/>
  <c r="BH67" i="1"/>
  <c r="BG67" i="1"/>
  <c r="BF67" i="1"/>
  <c r="BI66" i="1"/>
  <c r="BH66" i="1"/>
  <c r="BG66" i="1"/>
  <c r="BF66" i="1"/>
  <c r="BI65" i="1"/>
  <c r="BH65" i="1"/>
  <c r="BG65" i="1"/>
  <c r="BF65" i="1"/>
  <c r="BI64" i="1"/>
  <c r="BH64" i="1"/>
  <c r="BG64" i="1"/>
  <c r="BF64" i="1"/>
  <c r="BI63" i="1"/>
  <c r="BH63" i="1"/>
  <c r="BG63" i="1"/>
  <c r="BF63" i="1"/>
  <c r="BI62" i="1"/>
  <c r="BH62" i="1"/>
  <c r="BG62" i="1"/>
  <c r="BF62" i="1"/>
  <c r="BI61" i="1"/>
  <c r="BH61" i="1"/>
  <c r="BG61" i="1"/>
  <c r="BF61" i="1"/>
  <c r="BI60" i="1"/>
  <c r="BH60" i="1"/>
  <c r="BG60" i="1"/>
  <c r="BF60" i="1"/>
  <c r="BI59" i="1"/>
  <c r="BH59" i="1"/>
  <c r="BG59" i="1"/>
  <c r="BF59" i="1"/>
  <c r="BI58" i="1"/>
  <c r="BH58" i="1"/>
  <c r="BG58" i="1"/>
  <c r="BF58" i="1"/>
  <c r="BI57" i="1"/>
  <c r="BH57" i="1"/>
  <c r="BG57" i="1"/>
  <c r="BF57" i="1"/>
  <c r="BI56" i="1"/>
  <c r="BH56" i="1"/>
  <c r="BG56" i="1"/>
  <c r="BF56" i="1"/>
  <c r="BI55" i="1"/>
  <c r="BH55" i="1"/>
  <c r="BG55" i="1"/>
  <c r="BF55" i="1"/>
  <c r="BI54" i="1"/>
  <c r="BH54" i="1"/>
  <c r="BG54" i="1"/>
  <c r="BF54" i="1"/>
  <c r="BI53" i="1"/>
  <c r="BH53" i="1"/>
  <c r="BG53" i="1"/>
  <c r="BF53" i="1"/>
  <c r="BI52" i="1"/>
  <c r="BH52" i="1"/>
  <c r="BG52" i="1"/>
  <c r="BF52" i="1"/>
  <c r="BF50" i="1"/>
  <c r="AZ74" i="1" l="1"/>
  <c r="AV107" i="1"/>
  <c r="AV109" i="1"/>
  <c r="BM74" i="1"/>
  <c r="BK109" i="1"/>
  <c r="BK107" i="1"/>
  <c r="BE110" i="1"/>
  <c r="AZ112" i="1"/>
  <c r="AH120" i="1" s="1"/>
  <c r="AW110" i="1"/>
  <c r="AW107" i="1"/>
  <c r="AZ97" i="1"/>
  <c r="AZ95" i="1"/>
  <c r="AZ93" i="1"/>
  <c r="AZ91" i="1"/>
  <c r="AZ89" i="1"/>
  <c r="AZ87" i="1"/>
  <c r="AZ85" i="1"/>
  <c r="AZ83" i="1"/>
  <c r="BM98" i="1"/>
  <c r="BM97" i="1"/>
  <c r="BM96" i="1"/>
  <c r="BM95" i="1"/>
  <c r="BM94" i="1"/>
  <c r="BM93" i="1"/>
  <c r="BM92" i="1"/>
  <c r="BM91" i="1"/>
  <c r="BM90" i="1"/>
  <c r="BM89" i="1"/>
  <c r="BM88" i="1"/>
  <c r="BM87" i="1"/>
  <c r="BM86" i="1"/>
  <c r="BM85" i="1"/>
  <c r="BM84" i="1"/>
  <c r="BM83" i="1"/>
  <c r="BL110" i="1"/>
  <c r="BL107" i="1"/>
  <c r="BE109" i="1"/>
  <c r="BM82" i="1"/>
  <c r="BK110" i="1"/>
  <c r="AZ82" i="1"/>
  <c r="AZ98" i="1"/>
  <c r="AZ96" i="1"/>
  <c r="AZ94" i="1"/>
  <c r="AZ92" i="1"/>
  <c r="AZ90" i="1"/>
  <c r="AZ88" i="1"/>
  <c r="AZ86" i="1"/>
  <c r="AZ84" i="1"/>
  <c r="AH129" i="1"/>
  <c r="AH124" i="1"/>
  <c r="BJ54" i="1"/>
  <c r="BJ55" i="1"/>
  <c r="BJ57" i="1"/>
  <c r="BJ58" i="1"/>
  <c r="BJ59" i="1"/>
  <c r="BJ61" i="1"/>
  <c r="BJ62" i="1"/>
  <c r="BJ65" i="1"/>
  <c r="BJ66" i="1"/>
  <c r="BJ67" i="1"/>
  <c r="BJ69" i="1"/>
  <c r="BJ70" i="1"/>
  <c r="BJ73" i="1"/>
  <c r="BJ74" i="1"/>
  <c r="BJ77" i="1"/>
  <c r="BJ78" i="1"/>
  <c r="BJ84" i="1"/>
  <c r="BJ87" i="1"/>
  <c r="BJ88" i="1"/>
  <c r="BJ92" i="1"/>
  <c r="BJ93" i="1"/>
  <c r="BJ95" i="1"/>
  <c r="BJ99" i="1"/>
  <c r="BJ104" i="1"/>
  <c r="BJ63" i="1"/>
  <c r="BJ53" i="1"/>
  <c r="BJ76" i="1"/>
  <c r="BJ85" i="1"/>
  <c r="BJ91" i="1"/>
  <c r="BJ101" i="1"/>
  <c r="BJ72" i="1"/>
  <c r="BJ96" i="1"/>
  <c r="BJ103" i="1"/>
  <c r="BJ83" i="1"/>
  <c r="BJ89" i="1"/>
  <c r="BJ102" i="1"/>
  <c r="BJ97" i="1"/>
  <c r="BJ52" i="1"/>
  <c r="BJ56" i="1"/>
  <c r="BJ60" i="1"/>
  <c r="BJ64" i="1"/>
  <c r="BJ68" i="1"/>
  <c r="BJ71" i="1"/>
  <c r="BJ75" i="1"/>
  <c r="BJ82" i="1"/>
  <c r="BJ86" i="1"/>
  <c r="BJ90" i="1"/>
  <c r="BJ94" i="1"/>
  <c r="BJ98" i="1"/>
  <c r="BM107" i="1" l="1"/>
  <c r="AZ110" i="1"/>
  <c r="AH118" i="1" s="1"/>
  <c r="AZ109" i="1"/>
  <c r="AZ107" i="1"/>
  <c r="AI107" i="1" l="1"/>
  <c r="AH117" i="1"/>
  <c r="AI115" i="1" s="1"/>
  <c r="AH125" i="1"/>
  <c r="AI123" i="1" s="1"/>
</calcChain>
</file>

<file path=xl/sharedStrings.xml><?xml version="1.0" encoding="utf-8"?>
<sst xmlns="http://schemas.openxmlformats.org/spreadsheetml/2006/main" count="1177" uniqueCount="314">
  <si>
    <t>LP</t>
  </si>
  <si>
    <t>Oznaczenie płatnika</t>
  </si>
  <si>
    <t>Czy punkt bierze udział w postępowaniu przetargowym</t>
  </si>
  <si>
    <t>Dane Płatnika</t>
  </si>
  <si>
    <t>Nazwa obiektu</t>
  </si>
  <si>
    <t>Dane OSD</t>
  </si>
  <si>
    <t>Nazwa Obecnego Sprzedawcy</t>
  </si>
  <si>
    <t>Rodzaj umowy</t>
  </si>
  <si>
    <t>Okres obowiązywania obecnej umowy sprzedażowej</t>
  </si>
  <si>
    <t>Nazwa obowiązującego porozumienia</t>
  </si>
  <si>
    <t>Okres obowiązywania porozumienia</t>
  </si>
  <si>
    <t>Nr umowy dystrybucyjnej</t>
  </si>
  <si>
    <t>Okres wypowiedzenia</t>
  </si>
  <si>
    <t>Obecna grupa taryfowa</t>
  </si>
  <si>
    <t>Wnioskowana grupa taryfowa</t>
  </si>
  <si>
    <t>Obecna moc umowna</t>
  </si>
  <si>
    <t>Zapezpieczenie przedlicznikowe</t>
  </si>
  <si>
    <t>Nr licznika</t>
  </si>
  <si>
    <t>Nr ewidencyjny</t>
  </si>
  <si>
    <t>Nr PPE</t>
  </si>
  <si>
    <t>Zużycie roczne</t>
  </si>
  <si>
    <t>Płatnik</t>
  </si>
  <si>
    <t>Adres</t>
  </si>
  <si>
    <t>Kod</t>
  </si>
  <si>
    <t>Miejscowość</t>
  </si>
  <si>
    <t>NIP</t>
  </si>
  <si>
    <t>Ulica</t>
  </si>
  <si>
    <t>Nr</t>
  </si>
  <si>
    <t>Nazwa</t>
  </si>
  <si>
    <t>Oddział</t>
  </si>
  <si>
    <t>Od</t>
  </si>
  <si>
    <t>Do</t>
  </si>
  <si>
    <t>I strefa</t>
  </si>
  <si>
    <t>II strefa</t>
  </si>
  <si>
    <t>III strefa</t>
  </si>
  <si>
    <t>IV strefa</t>
  </si>
  <si>
    <t>Suma</t>
  </si>
  <si>
    <t>suma</t>
  </si>
  <si>
    <t>tak</t>
  </si>
  <si>
    <t>Wałbrzych</t>
  </si>
  <si>
    <t>TAURON Dystrybucja S.A.</t>
  </si>
  <si>
    <t>Tauron Sprzedaż sp. z. o.o.</t>
  </si>
  <si>
    <t>O12</t>
  </si>
  <si>
    <t>31.12.2018</t>
  </si>
  <si>
    <t>C11</t>
  </si>
  <si>
    <t>kompleksowa</t>
  </si>
  <si>
    <t>G11</t>
  </si>
  <si>
    <t>22</t>
  </si>
  <si>
    <t>3</t>
  </si>
  <si>
    <t>15a</t>
  </si>
  <si>
    <t>43</t>
  </si>
  <si>
    <t>40</t>
  </si>
  <si>
    <t>23</t>
  </si>
  <si>
    <t>8</t>
  </si>
  <si>
    <t>48</t>
  </si>
  <si>
    <t>17</t>
  </si>
  <si>
    <t>15</t>
  </si>
  <si>
    <t>1</t>
  </si>
  <si>
    <t>29</t>
  </si>
  <si>
    <t>5</t>
  </si>
  <si>
    <t>15A</t>
  </si>
  <si>
    <t>10</t>
  </si>
  <si>
    <t>6</t>
  </si>
  <si>
    <t xml:space="preserve">Proporcje zużycia </t>
  </si>
  <si>
    <t>Zużycie za rok 2017 (kWh) szacunek</t>
  </si>
  <si>
    <t>Zużycie za rok 2018 (kWh) szacunek</t>
  </si>
  <si>
    <t>Planowany okres dostaw</t>
  </si>
  <si>
    <t>36</t>
  </si>
  <si>
    <t>28</t>
  </si>
  <si>
    <t>19a</t>
  </si>
  <si>
    <t>14</t>
  </si>
  <si>
    <t>64</t>
  </si>
  <si>
    <t>UZDROWISKOWA GMINA MIEJSKA SZCZAWNO-ZDRÓJ</t>
  </si>
  <si>
    <t>ul. T. Kościuszki 17</t>
  </si>
  <si>
    <t>58-310</t>
  </si>
  <si>
    <t>Szczawno-Zdrój</t>
  </si>
  <si>
    <t>8862572767</t>
  </si>
  <si>
    <t>terminowa do 28.02.2017, bez wypowiedzenia</t>
  </si>
  <si>
    <t>PROD_411007693386</t>
  </si>
  <si>
    <t>PROD_411007704112</t>
  </si>
  <si>
    <t>PROD_411007704242</t>
  </si>
  <si>
    <t>PROD_411007704392</t>
  </si>
  <si>
    <t>PROD_411007705643</t>
  </si>
  <si>
    <t>PROD_411007705373</t>
  </si>
  <si>
    <t>PROD_411007704792</t>
  </si>
  <si>
    <t>PROD_411007704662</t>
  </si>
  <si>
    <t>PROD_411007606381</t>
  </si>
  <si>
    <t>PROD_411007530972</t>
  </si>
  <si>
    <t>PROD_411007705443</t>
  </si>
  <si>
    <t>PROD_411007705223</t>
  </si>
  <si>
    <t>PROD_411007693096</t>
  </si>
  <si>
    <t>PROD_411007606451</t>
  </si>
  <si>
    <t>PROD_411007606651</t>
  </si>
  <si>
    <t>PROD_411008290771</t>
  </si>
  <si>
    <t>PROD_411008206617</t>
  </si>
  <si>
    <t>PROD_411007531181</t>
  </si>
  <si>
    <t>PROD_411007606541</t>
  </si>
  <si>
    <t>PLTAUD141000088344</t>
  </si>
  <si>
    <t>PROD_411008389119</t>
  </si>
  <si>
    <t>PROD_411006675556</t>
  </si>
  <si>
    <t>PLTAUD141000002454</t>
  </si>
  <si>
    <t>PROD_411008804237</t>
  </si>
  <si>
    <t>PROD_411008256507</t>
  </si>
  <si>
    <t>PROD_411008436923</t>
  </si>
  <si>
    <t>PROD_411007740776</t>
  </si>
  <si>
    <t>PROD_411007740826</t>
  </si>
  <si>
    <t>PROD_411007740996</t>
  </si>
  <si>
    <t>PROD_411007741095</t>
  </si>
  <si>
    <t>PROD_411007741105</t>
  </si>
  <si>
    <t>PROD_411007741235</t>
  </si>
  <si>
    <t>PROD_411007741385</t>
  </si>
  <si>
    <t>PROD_411007741455</t>
  </si>
  <si>
    <t>PROD_411007741545</t>
  </si>
  <si>
    <t>PROD_411007741655</t>
  </si>
  <si>
    <t>PROD_411007741785</t>
  </si>
  <si>
    <t>PROD_411007741835</t>
  </si>
  <si>
    <t>PROD_411007742022</t>
  </si>
  <si>
    <t>PROD_411007742312</t>
  </si>
  <si>
    <t>PROD_411007742262</t>
  </si>
  <si>
    <t>PROD_411007531071</t>
  </si>
  <si>
    <t>PLTAUD141000063547</t>
  </si>
  <si>
    <t>PROD_411008453098</t>
  </si>
  <si>
    <t>PROD_411000535783</t>
  </si>
  <si>
    <t>PROD_411007609906</t>
  </si>
  <si>
    <t>PROD_411000508362</t>
  </si>
  <si>
    <t>01.03.2017</t>
  </si>
  <si>
    <t>Moc umowna</t>
  </si>
  <si>
    <t>Zabezp.</t>
  </si>
  <si>
    <t>BACZYŃSKIEGO</t>
  </si>
  <si>
    <t>KLATKA SCHODOWA</t>
  </si>
  <si>
    <t>28009930</t>
  </si>
  <si>
    <t>80203453</t>
  </si>
  <si>
    <t>80203450</t>
  </si>
  <si>
    <t>12055116</t>
  </si>
  <si>
    <t>01158242</t>
  </si>
  <si>
    <t>1462594</t>
  </si>
  <si>
    <t>83314633</t>
  </si>
  <si>
    <t>80193984</t>
  </si>
  <si>
    <t>01104566</t>
  </si>
  <si>
    <t>39941616</t>
  </si>
  <si>
    <t>83659443</t>
  </si>
  <si>
    <t>90174408</t>
  </si>
  <si>
    <t>8652519</t>
  </si>
  <si>
    <t>01124536</t>
  </si>
  <si>
    <t>71184819</t>
  </si>
  <si>
    <t>62445991</t>
  </si>
  <si>
    <t>38567629</t>
  </si>
  <si>
    <t>PRUSA</t>
  </si>
  <si>
    <t>KOLEJOWA</t>
  </si>
  <si>
    <t>SOLICKA</t>
  </si>
  <si>
    <t>NARCIARSKA</t>
  </si>
  <si>
    <t>71826169</t>
  </si>
  <si>
    <t>72127707</t>
  </si>
  <si>
    <t>71827231</t>
  </si>
  <si>
    <t>71827219</t>
  </si>
  <si>
    <t>RÓZANA</t>
  </si>
  <si>
    <t>UŁANÓW NADWIŚL.</t>
  </si>
  <si>
    <t xml:space="preserve">KOLEJOWA  </t>
  </si>
  <si>
    <t>WOJSKA POLSKIEGO</t>
  </si>
  <si>
    <t>SŁON. POLANA NARCIAR</t>
  </si>
  <si>
    <t>48021049</t>
  </si>
  <si>
    <t>GÓRA CHEŁMIEC</t>
  </si>
  <si>
    <t>C12B</t>
  </si>
  <si>
    <t>41-1249024</t>
  </si>
  <si>
    <t>41-0636030</t>
  </si>
  <si>
    <t>41-0636014</t>
  </si>
  <si>
    <t>SŁOWACKIEGO</t>
  </si>
  <si>
    <t>MICKIEWICZA</t>
  </si>
  <si>
    <t>SIENKIEWICZA</t>
  </si>
  <si>
    <t xml:space="preserve">SIENKIEWICZA </t>
  </si>
  <si>
    <t>ŁĄCZYŃSKIEGO</t>
  </si>
  <si>
    <t>KOŚCIUSZKI</t>
  </si>
  <si>
    <t>POMIESZCZENIA WGK</t>
  </si>
  <si>
    <t>CMENTARZ</t>
  </si>
  <si>
    <t>URZĄD MIEJSKI</t>
  </si>
  <si>
    <t>PRZEPOMPOWNIA</t>
  </si>
  <si>
    <t>36,36A</t>
  </si>
  <si>
    <t>MONITORING</t>
  </si>
  <si>
    <t>WIGOR</t>
  </si>
  <si>
    <t>FONTANNA</t>
  </si>
  <si>
    <t>PRZYSTANEK</t>
  </si>
  <si>
    <t>OBIEKT SPORTOWY</t>
  </si>
  <si>
    <t xml:space="preserve">KOŚCIUSZKI </t>
  </si>
  <si>
    <t>19A/3</t>
  </si>
  <si>
    <t>LOKAL UZYTKOWY</t>
  </si>
  <si>
    <t>LOKALE SOCJALNE</t>
  </si>
  <si>
    <t>OŚWIETLENIE DROGOWE</t>
  </si>
  <si>
    <t>ZEGAR</t>
  </si>
  <si>
    <t>ILUMINACJA</t>
  </si>
  <si>
    <t>NIZINNA-PARK SZWEDZKI</t>
  </si>
  <si>
    <t xml:space="preserve">SOLICKA </t>
  </si>
  <si>
    <t>TOPOLOWA</t>
  </si>
  <si>
    <t>19A/1</t>
  </si>
  <si>
    <t>19A/2</t>
  </si>
  <si>
    <t>11</t>
  </si>
  <si>
    <t>44</t>
  </si>
  <si>
    <t xml:space="preserve">SŁONECZNA </t>
  </si>
  <si>
    <t xml:space="preserve">AKACJOWA </t>
  </si>
  <si>
    <t xml:space="preserve">RÓWNOLEGŁA </t>
  </si>
  <si>
    <t xml:space="preserve">MICKIEWICZA </t>
  </si>
  <si>
    <t xml:space="preserve">3 MAJA </t>
  </si>
  <si>
    <t xml:space="preserve">SŁOWACKIEGO </t>
  </si>
  <si>
    <t xml:space="preserve">POTOCKIEGO </t>
  </si>
  <si>
    <t xml:space="preserve">ŁĄCZYŃSKIEGO </t>
  </si>
  <si>
    <t>OŚWIETLENIE PARKOWE</t>
  </si>
  <si>
    <t>41-0499034</t>
  </si>
  <si>
    <t>C12A</t>
  </si>
  <si>
    <t>41/9001186</t>
  </si>
  <si>
    <t>PROD_411008470469</t>
  </si>
  <si>
    <t>PROD_411003156796</t>
  </si>
  <si>
    <t>41-0553030</t>
  </si>
  <si>
    <t>41-1008024</t>
  </si>
  <si>
    <t>41-1020018</t>
  </si>
  <si>
    <t>41-476004</t>
  </si>
  <si>
    <t>41-499011</t>
  </si>
  <si>
    <t>41-504012</t>
  </si>
  <si>
    <t>41-550024</t>
  </si>
  <si>
    <t>41-930001</t>
  </si>
  <si>
    <t>41-930002</t>
  </si>
  <si>
    <t>41-930003</t>
  </si>
  <si>
    <t>41-930013</t>
  </si>
  <si>
    <t>41-930012</t>
  </si>
  <si>
    <t>41-930011</t>
  </si>
  <si>
    <t>41-930010</t>
  </si>
  <si>
    <t>41-930009</t>
  </si>
  <si>
    <t>41-930008</t>
  </si>
  <si>
    <t>41-930007</t>
  </si>
  <si>
    <t>41-930006</t>
  </si>
  <si>
    <t>41-930005</t>
  </si>
  <si>
    <t>41-930004</t>
  </si>
  <si>
    <t>PROD_411002481368</t>
  </si>
  <si>
    <t>41/0668019</t>
  </si>
  <si>
    <t>41-0499032</t>
  </si>
  <si>
    <t>41-0499033</t>
  </si>
  <si>
    <t>41-0554021</t>
  </si>
  <si>
    <t>41-0555019</t>
  </si>
  <si>
    <t>41-0558058</t>
  </si>
  <si>
    <t>41-0637024</t>
  </si>
  <si>
    <t>41-0668026</t>
  </si>
  <si>
    <t>41-0668032</t>
  </si>
  <si>
    <t>41-1013023</t>
  </si>
  <si>
    <t>41-1020016</t>
  </si>
  <si>
    <t>41-0504017</t>
  </si>
  <si>
    <t>41-0553003</t>
  </si>
  <si>
    <t>41-0553034</t>
  </si>
  <si>
    <t>41-1003007</t>
  </si>
  <si>
    <t>41-1005009</t>
  </si>
  <si>
    <t>OBIEKT SPORTOWY-stacja</t>
  </si>
  <si>
    <t>41-1005017</t>
  </si>
  <si>
    <t>41-1020017</t>
  </si>
  <si>
    <t>41-9001091</t>
  </si>
  <si>
    <t>41-0550023</t>
  </si>
  <si>
    <t>PROD_411001168108</t>
  </si>
  <si>
    <t>PROD_411001168388</t>
  </si>
  <si>
    <t>41-2378291</t>
  </si>
  <si>
    <t>41-2378331</t>
  </si>
  <si>
    <t xml:space="preserve">KOMPLEKS OŚWIATOWO-REKREACYJNY ul. SŁONECZNA </t>
  </si>
  <si>
    <t>BOISKO SPORTOWE WIELOFUNKCYJNE</t>
  </si>
  <si>
    <t>TEATR ZDROJOWY</t>
  </si>
  <si>
    <t>MIEJSKA SZKOŁA PODSTAWOWA</t>
  </si>
  <si>
    <t>T. KOŚCIUSZKI</t>
  </si>
  <si>
    <t>19</t>
  </si>
  <si>
    <t>32</t>
  </si>
  <si>
    <t>C21</t>
  </si>
  <si>
    <t>PARK TECHNOLOGICZNY</t>
  </si>
  <si>
    <t>SZCZAWIENSKA</t>
  </si>
  <si>
    <t>VD424630</t>
  </si>
  <si>
    <t>B11</t>
  </si>
  <si>
    <t>41-0636026</t>
  </si>
  <si>
    <t>SALA GIMNASTYCZNA</t>
  </si>
  <si>
    <t>41-0636021</t>
  </si>
  <si>
    <t>PROD_411007735345</t>
  </si>
  <si>
    <t>suma kWh</t>
  </si>
  <si>
    <t>suma zł/netto</t>
  </si>
  <si>
    <t>Dystrybucja</t>
  </si>
  <si>
    <t>2</t>
  </si>
  <si>
    <t>4</t>
  </si>
  <si>
    <t>7</t>
  </si>
  <si>
    <t>9</t>
  </si>
  <si>
    <t>12</t>
  </si>
  <si>
    <t>13</t>
  </si>
  <si>
    <t>16</t>
  </si>
  <si>
    <t>18</t>
  </si>
  <si>
    <t>20</t>
  </si>
  <si>
    <t>21</t>
  </si>
  <si>
    <t>24</t>
  </si>
  <si>
    <t>25</t>
  </si>
  <si>
    <t>26</t>
  </si>
  <si>
    <t>27</t>
  </si>
  <si>
    <t>30</t>
  </si>
  <si>
    <t>31</t>
  </si>
  <si>
    <t>33</t>
  </si>
  <si>
    <t>34</t>
  </si>
  <si>
    <t>35</t>
  </si>
  <si>
    <t>37</t>
  </si>
  <si>
    <t>38</t>
  </si>
  <si>
    <t>39</t>
  </si>
  <si>
    <t>41</t>
  </si>
  <si>
    <t>42</t>
  </si>
  <si>
    <t>45</t>
  </si>
  <si>
    <t>46</t>
  </si>
  <si>
    <t>47</t>
  </si>
  <si>
    <t>49</t>
  </si>
  <si>
    <t>50</t>
  </si>
  <si>
    <t>51</t>
  </si>
  <si>
    <t>52</t>
  </si>
  <si>
    <t>53</t>
  </si>
  <si>
    <t xml:space="preserve">Dostawa </t>
  </si>
  <si>
    <t>Załącznik nr 1 do umowy</t>
  </si>
  <si>
    <t>od 1.07.2017 do 30.04.2019r.</t>
  </si>
  <si>
    <t>od 1.01.2018 do 30.04.2019r.</t>
  </si>
  <si>
    <t>Przewidywany czas realizacji umowy</t>
  </si>
  <si>
    <t>2017- 2019</t>
  </si>
  <si>
    <t>Zużycie za rok 2019 (kWh) szacunek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</si>
</sst>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14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1">
    <xf numFmtId="0" fontId="0" fillId="0" borderId="0" xfId="0"/>
    <xf numFmtId="0" fontId="2" fillId="2" borderId="1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2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0" fontId="8" fillId="0" borderId="1" xfId="1" applyNumberFormat="1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64" fontId="4" fillId="0" borderId="1" xfId="2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5" fillId="0" borderId="1" xfId="2" applyNumberFormat="1" applyFont="1" applyFill="1" applyBorder="1" applyAlignment="1" applyProtection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Dziesiętny" xfId="2" builtinId="3"/>
    <cellStyle name="Normalny" xfId="0" builtinId="0"/>
    <cellStyle name="Procentowy" xfId="1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nmedia\Documents\ENMEDIA\WA&#321;BRZYCH\ZA&#321;&#260;CZNKI\Kopia%20Gmina%20Wa&#322;abrzych%20ZDKIUM%20z%20wy&#380;szym%20zu&#380;yciem%2015%25%20-%20za&#322;&#261;czni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Moc Pobrana"/>
      <sheetName val="Ceny taryfowe porozumienia"/>
      <sheetName val="Dystrybucja"/>
      <sheetName val="Proporcje zużycia"/>
      <sheetName val="Analiza"/>
      <sheetName val="Dystrybucja ENEA"/>
      <sheetName val="dystrybucja PKP"/>
      <sheetName val="obrót"/>
      <sheetName val="Podział na lata"/>
      <sheetName val="Podsumowanie"/>
      <sheetName val="Załącznik"/>
      <sheetName val="załącznik wg nr NIP"/>
      <sheetName val="Załącznik do Przetargu"/>
      <sheetName val="Podział na lata do przetargu"/>
      <sheetName val="Raport"/>
      <sheetName val="Arkusz3"/>
    </sheetNames>
    <sheetDataSet>
      <sheetData sheetId="0"/>
      <sheetData sheetId="1"/>
      <sheetData sheetId="2"/>
      <sheetData sheetId="3"/>
      <sheetData sheetId="4"/>
      <sheetData sheetId="5">
        <row r="104">
          <cell r="BG104">
            <v>0</v>
          </cell>
        </row>
        <row r="105">
          <cell r="BG105">
            <v>0</v>
          </cell>
        </row>
        <row r="106">
          <cell r="BG106">
            <v>0</v>
          </cell>
        </row>
        <row r="107">
          <cell r="BG107">
            <v>0</v>
          </cell>
        </row>
        <row r="108">
          <cell r="BG108">
            <v>0</v>
          </cell>
        </row>
        <row r="109">
          <cell r="BG109">
            <v>0</v>
          </cell>
        </row>
        <row r="110">
          <cell r="BG110">
            <v>0</v>
          </cell>
        </row>
        <row r="111">
          <cell r="BG111">
            <v>0</v>
          </cell>
        </row>
        <row r="112">
          <cell r="BG112">
            <v>0</v>
          </cell>
        </row>
        <row r="113">
          <cell r="BG113">
            <v>0</v>
          </cell>
        </row>
        <row r="114">
          <cell r="BG114">
            <v>0</v>
          </cell>
        </row>
        <row r="115">
          <cell r="BG115">
            <v>0</v>
          </cell>
        </row>
        <row r="116">
          <cell r="BG116">
            <v>0</v>
          </cell>
        </row>
        <row r="117">
          <cell r="BG117">
            <v>0</v>
          </cell>
        </row>
        <row r="118">
          <cell r="BG118">
            <v>0</v>
          </cell>
        </row>
        <row r="119">
          <cell r="BG119">
            <v>0</v>
          </cell>
        </row>
        <row r="120">
          <cell r="BG120">
            <v>0</v>
          </cell>
        </row>
        <row r="122">
          <cell r="BG122">
            <v>0</v>
          </cell>
        </row>
        <row r="123">
          <cell r="BG123">
            <v>0</v>
          </cell>
        </row>
        <row r="124">
          <cell r="BG124">
            <v>0</v>
          </cell>
        </row>
        <row r="125">
          <cell r="BG125">
            <v>0</v>
          </cell>
        </row>
        <row r="126">
          <cell r="BG126">
            <v>0</v>
          </cell>
        </row>
        <row r="127">
          <cell r="BG127">
            <v>0</v>
          </cell>
        </row>
        <row r="128">
          <cell r="BG128">
            <v>0</v>
          </cell>
        </row>
        <row r="129">
          <cell r="BG129">
            <v>0</v>
          </cell>
        </row>
        <row r="130">
          <cell r="BG130">
            <v>0</v>
          </cell>
        </row>
        <row r="131">
          <cell r="BG131">
            <v>0</v>
          </cell>
        </row>
        <row r="132">
          <cell r="BG132">
            <v>0</v>
          </cell>
        </row>
        <row r="133">
          <cell r="BG133">
            <v>0</v>
          </cell>
        </row>
        <row r="134">
          <cell r="BG134">
            <v>0</v>
          </cell>
        </row>
        <row r="135">
          <cell r="BG135">
            <v>0</v>
          </cell>
        </row>
        <row r="136">
          <cell r="BG136">
            <v>0</v>
          </cell>
        </row>
        <row r="137">
          <cell r="BG137">
            <v>0</v>
          </cell>
        </row>
        <row r="138">
          <cell r="BG138">
            <v>0</v>
          </cell>
        </row>
        <row r="139">
          <cell r="BG139">
            <v>0</v>
          </cell>
        </row>
        <row r="140">
          <cell r="BG140">
            <v>0</v>
          </cell>
        </row>
        <row r="141">
          <cell r="BG141">
            <v>0</v>
          </cell>
        </row>
        <row r="142">
          <cell r="BG142">
            <v>0</v>
          </cell>
        </row>
        <row r="143">
          <cell r="BG143">
            <v>0</v>
          </cell>
        </row>
        <row r="144">
          <cell r="BG144">
            <v>0</v>
          </cell>
        </row>
        <row r="145">
          <cell r="BG145">
            <v>0</v>
          </cell>
        </row>
        <row r="146">
          <cell r="BG146">
            <v>0</v>
          </cell>
        </row>
        <row r="147">
          <cell r="BG147">
            <v>0</v>
          </cell>
        </row>
        <row r="148">
          <cell r="BG148">
            <v>0</v>
          </cell>
        </row>
        <row r="149">
          <cell r="BG149">
            <v>0</v>
          </cell>
        </row>
        <row r="150">
          <cell r="BG150">
            <v>0</v>
          </cell>
        </row>
        <row r="151">
          <cell r="BG151">
            <v>0</v>
          </cell>
        </row>
        <row r="153">
          <cell r="BG153">
            <v>0</v>
          </cell>
        </row>
        <row r="154">
          <cell r="BG154">
            <v>0</v>
          </cell>
        </row>
      </sheetData>
      <sheetData sheetId="6"/>
      <sheetData sheetId="7"/>
      <sheetData sheetId="8"/>
      <sheetData sheetId="9">
        <row r="1">
          <cell r="G1">
            <v>2019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130"/>
  <sheetViews>
    <sheetView tabSelected="1" topLeftCell="AH64" zoomScale="98" zoomScaleNormal="98" workbookViewId="0">
      <selection activeCell="BK50" sqref="BK50:BM50"/>
    </sheetView>
  </sheetViews>
  <sheetFormatPr defaultRowHeight="15" x14ac:dyDescent="0.25"/>
  <cols>
    <col min="1" max="1" width="9.140625" style="13"/>
    <col min="2" max="3" width="9.140625" style="13" hidden="1" customWidth="1"/>
    <col min="4" max="4" width="56.7109375" style="13" hidden="1" customWidth="1"/>
    <col min="5" max="5" width="19.5703125" style="13" hidden="1" customWidth="1"/>
    <col min="6" max="6" width="7.140625" style="13" hidden="1" customWidth="1"/>
    <col min="7" max="7" width="14.42578125" style="13" hidden="1" customWidth="1"/>
    <col min="8" max="8" width="12" style="13" hidden="1" customWidth="1"/>
    <col min="9" max="9" width="7.5703125" style="13" customWidth="1"/>
    <col min="10" max="10" width="28.140625" style="13" customWidth="1"/>
    <col min="11" max="11" width="20.140625" style="13" customWidth="1"/>
    <col min="12" max="12" width="9.28515625" style="13" customWidth="1"/>
    <col min="13" max="13" width="23.85546875" style="13" hidden="1" customWidth="1"/>
    <col min="14" max="14" width="0" style="13" hidden="1" customWidth="1"/>
    <col min="15" max="15" width="35.5703125" style="13" hidden="1" customWidth="1"/>
    <col min="16" max="16" width="20.28515625" style="13" hidden="1" customWidth="1"/>
    <col min="17" max="17" width="46.140625" style="13" hidden="1" customWidth="1"/>
    <col min="18" max="21" width="0" style="13" hidden="1" customWidth="1"/>
    <col min="22" max="22" width="10" style="13" customWidth="1"/>
    <col min="23" max="23" width="9.140625" style="13"/>
    <col min="24" max="24" width="9.85546875" style="13" customWidth="1"/>
    <col min="25" max="31" width="0" style="13" hidden="1" customWidth="1"/>
    <col min="32" max="32" width="23.7109375" style="13" hidden="1" customWidth="1"/>
    <col min="33" max="33" width="19.42578125" style="13" customWidth="1"/>
    <col min="34" max="34" width="13.85546875" style="13" bestFit="1" customWidth="1"/>
    <col min="35" max="35" width="22.85546875" style="13" customWidth="1"/>
    <col min="36" max="36" width="12.7109375" style="13" hidden="1" customWidth="1"/>
    <col min="37" max="37" width="13" style="13" hidden="1" customWidth="1"/>
    <col min="38" max="47" width="0" style="13" hidden="1" customWidth="1"/>
    <col min="48" max="48" width="11.42578125" style="12" bestFit="1" customWidth="1"/>
    <col min="49" max="49" width="11.42578125" style="13" bestFit="1" customWidth="1"/>
    <col min="50" max="50" width="10.28515625" style="13" hidden="1" customWidth="1"/>
    <col min="51" max="51" width="0" style="13" hidden="1" customWidth="1"/>
    <col min="52" max="52" width="10.5703125" style="13" customWidth="1"/>
    <col min="53" max="54" width="11.42578125" style="13" bestFit="1" customWidth="1"/>
    <col min="55" max="55" width="11.42578125" style="13" hidden="1" customWidth="1"/>
    <col min="56" max="56" width="0" style="13" hidden="1" customWidth="1"/>
    <col min="57" max="57" width="12.42578125" style="13" customWidth="1"/>
    <col min="58" max="62" width="0" style="13" hidden="1" customWidth="1"/>
    <col min="63" max="63" width="12.28515625" style="13" customWidth="1"/>
    <col min="64" max="64" width="12.85546875" style="13" customWidth="1"/>
    <col min="65" max="65" width="12.7109375" style="13" customWidth="1"/>
    <col min="66" max="66" width="23.7109375" style="13" customWidth="1"/>
    <col min="67" max="16384" width="9.140625" style="13"/>
  </cols>
  <sheetData>
    <row r="1" hidden="1" x14ac:dyDescent="0.25"/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6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spans="1:66" ht="15.75" thickBot="1" x14ac:dyDescent="0.3">
      <c r="A49" s="54" t="s">
        <v>308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</row>
    <row r="50" spans="1:66" ht="24.75" customHeight="1" x14ac:dyDescent="0.25">
      <c r="A50" s="55" t="s">
        <v>0</v>
      </c>
      <c r="B50" s="56" t="s">
        <v>1</v>
      </c>
      <c r="C50" s="57" t="s">
        <v>2</v>
      </c>
      <c r="D50" s="55" t="s">
        <v>3</v>
      </c>
      <c r="E50" s="55"/>
      <c r="F50" s="55"/>
      <c r="G50" s="55"/>
      <c r="H50" s="55"/>
      <c r="I50" s="48"/>
      <c r="J50" s="55" t="s">
        <v>4</v>
      </c>
      <c r="K50" s="55"/>
      <c r="L50" s="55"/>
      <c r="M50" s="55" t="s">
        <v>5</v>
      </c>
      <c r="N50" s="55"/>
      <c r="O50" s="56" t="s">
        <v>6</v>
      </c>
      <c r="P50" s="56" t="s">
        <v>7</v>
      </c>
      <c r="Q50" s="56" t="s">
        <v>8</v>
      </c>
      <c r="R50" s="56" t="s">
        <v>9</v>
      </c>
      <c r="S50" s="56" t="s">
        <v>10</v>
      </c>
      <c r="T50" s="56" t="s">
        <v>11</v>
      </c>
      <c r="U50" s="56" t="s">
        <v>12</v>
      </c>
      <c r="V50" s="56" t="s">
        <v>126</v>
      </c>
      <c r="W50" s="8"/>
      <c r="X50" s="56" t="s">
        <v>13</v>
      </c>
      <c r="Y50" s="8"/>
      <c r="Z50" s="8"/>
      <c r="AA50" s="8"/>
      <c r="AB50" s="8"/>
      <c r="AC50" s="56" t="s">
        <v>14</v>
      </c>
      <c r="AD50" s="55" t="s">
        <v>15</v>
      </c>
      <c r="AE50" s="56" t="s">
        <v>16</v>
      </c>
      <c r="AF50" s="55" t="s">
        <v>17</v>
      </c>
      <c r="AG50" s="55" t="s">
        <v>17</v>
      </c>
      <c r="AH50" s="55" t="s">
        <v>18</v>
      </c>
      <c r="AI50" s="55" t="s">
        <v>19</v>
      </c>
      <c r="AJ50" s="55" t="s">
        <v>66</v>
      </c>
      <c r="AK50" s="55"/>
      <c r="AL50" s="55" t="s">
        <v>20</v>
      </c>
      <c r="AM50" s="55"/>
      <c r="AN50" s="55"/>
      <c r="AO50" s="55"/>
      <c r="AP50" s="55"/>
      <c r="AQ50" s="7"/>
      <c r="AR50" s="55" t="s">
        <v>63</v>
      </c>
      <c r="AS50" s="55"/>
      <c r="AT50" s="55"/>
      <c r="AU50" s="55"/>
      <c r="AV50" s="55" t="s">
        <v>64</v>
      </c>
      <c r="AW50" s="55"/>
      <c r="AX50" s="55"/>
      <c r="AY50" s="55"/>
      <c r="AZ50" s="55"/>
      <c r="BA50" s="55" t="s">
        <v>65</v>
      </c>
      <c r="BB50" s="55"/>
      <c r="BC50" s="55"/>
      <c r="BD50" s="55"/>
      <c r="BE50" s="55"/>
      <c r="BF50" s="58" t="str">
        <f>"Zużycie za rok "&amp;'[1]Podział na lata'!G1&amp;" (kWh)"</f>
        <v>Zużycie za rok 2019 (kWh)</v>
      </c>
      <c r="BG50" s="59"/>
      <c r="BH50" s="59"/>
      <c r="BI50" s="59"/>
      <c r="BJ50" s="68"/>
      <c r="BK50" s="60" t="s">
        <v>313</v>
      </c>
      <c r="BL50" s="69"/>
      <c r="BM50" s="70"/>
      <c r="BN50" s="61" t="s">
        <v>311</v>
      </c>
    </row>
    <row r="51" spans="1:66" ht="28.5" customHeight="1" x14ac:dyDescent="0.25">
      <c r="A51" s="55"/>
      <c r="B51" s="56"/>
      <c r="C51" s="57"/>
      <c r="D51" s="1" t="s">
        <v>21</v>
      </c>
      <c r="E51" s="1" t="s">
        <v>22</v>
      </c>
      <c r="F51" s="1" t="s">
        <v>23</v>
      </c>
      <c r="G51" s="1" t="s">
        <v>24</v>
      </c>
      <c r="H51" s="1" t="s">
        <v>25</v>
      </c>
      <c r="I51" s="1" t="s">
        <v>0</v>
      </c>
      <c r="J51" s="55"/>
      <c r="K51" s="1" t="s">
        <v>26</v>
      </c>
      <c r="L51" s="1" t="s">
        <v>27</v>
      </c>
      <c r="M51" s="1" t="s">
        <v>28</v>
      </c>
      <c r="N51" s="1" t="s">
        <v>29</v>
      </c>
      <c r="O51" s="56"/>
      <c r="P51" s="56"/>
      <c r="Q51" s="56"/>
      <c r="R51" s="56"/>
      <c r="S51" s="56"/>
      <c r="T51" s="56"/>
      <c r="U51" s="56"/>
      <c r="V51" s="56"/>
      <c r="W51" s="8" t="s">
        <v>127</v>
      </c>
      <c r="X51" s="56"/>
      <c r="Y51" s="8"/>
      <c r="Z51" s="8"/>
      <c r="AA51" s="8"/>
      <c r="AB51" s="8"/>
      <c r="AC51" s="56"/>
      <c r="AD51" s="55"/>
      <c r="AE51" s="56"/>
      <c r="AF51" s="55"/>
      <c r="AG51" s="55"/>
      <c r="AH51" s="55"/>
      <c r="AI51" s="55"/>
      <c r="AJ51" s="7" t="s">
        <v>30</v>
      </c>
      <c r="AK51" s="7" t="s">
        <v>31</v>
      </c>
      <c r="AL51" s="7" t="s">
        <v>32</v>
      </c>
      <c r="AM51" s="7" t="s">
        <v>33</v>
      </c>
      <c r="AN51" s="7" t="s">
        <v>34</v>
      </c>
      <c r="AO51" s="7" t="s">
        <v>35</v>
      </c>
      <c r="AP51" s="7" t="s">
        <v>36</v>
      </c>
      <c r="AQ51" s="7"/>
      <c r="AR51" s="7" t="s">
        <v>32</v>
      </c>
      <c r="AS51" s="7" t="s">
        <v>33</v>
      </c>
      <c r="AT51" s="7" t="s">
        <v>34</v>
      </c>
      <c r="AU51" s="7" t="s">
        <v>35</v>
      </c>
      <c r="AV51" s="9" t="s">
        <v>32</v>
      </c>
      <c r="AW51" s="7" t="s">
        <v>33</v>
      </c>
      <c r="AX51" s="7" t="s">
        <v>34</v>
      </c>
      <c r="AY51" s="7" t="s">
        <v>35</v>
      </c>
      <c r="AZ51" s="7" t="s">
        <v>37</v>
      </c>
      <c r="BA51" s="7" t="s">
        <v>32</v>
      </c>
      <c r="BB51" s="7" t="s">
        <v>33</v>
      </c>
      <c r="BC51" s="7" t="s">
        <v>34</v>
      </c>
      <c r="BD51" s="7" t="s">
        <v>35</v>
      </c>
      <c r="BE51" s="7" t="s">
        <v>37</v>
      </c>
      <c r="BF51" s="2" t="s">
        <v>32</v>
      </c>
      <c r="BG51" s="7" t="s">
        <v>33</v>
      </c>
      <c r="BH51" s="7" t="s">
        <v>34</v>
      </c>
      <c r="BI51" s="7" t="s">
        <v>35</v>
      </c>
      <c r="BJ51" s="49" t="s">
        <v>37</v>
      </c>
      <c r="BK51" s="52" t="s">
        <v>32</v>
      </c>
      <c r="BL51" s="52" t="s">
        <v>33</v>
      </c>
      <c r="BM51" s="52" t="s">
        <v>37</v>
      </c>
      <c r="BN51" s="52"/>
    </row>
    <row r="52" spans="1:66" x14ac:dyDescent="0.25">
      <c r="A52" s="7">
        <v>1</v>
      </c>
      <c r="B52" s="7">
        <v>1</v>
      </c>
      <c r="C52" s="11" t="s">
        <v>38</v>
      </c>
      <c r="D52" s="3" t="s">
        <v>72</v>
      </c>
      <c r="E52" s="3" t="s">
        <v>73</v>
      </c>
      <c r="F52" s="3" t="s">
        <v>74</v>
      </c>
      <c r="G52" s="3" t="s">
        <v>75</v>
      </c>
      <c r="H52" s="3" t="s">
        <v>76</v>
      </c>
      <c r="I52" s="3" t="s">
        <v>57</v>
      </c>
      <c r="J52" s="3" t="s">
        <v>129</v>
      </c>
      <c r="K52" s="14" t="s">
        <v>128</v>
      </c>
      <c r="L52" s="3" t="s">
        <v>70</v>
      </c>
      <c r="M52" s="3" t="s">
        <v>40</v>
      </c>
      <c r="N52" s="3" t="s">
        <v>39</v>
      </c>
      <c r="O52" s="3" t="s">
        <v>41</v>
      </c>
      <c r="P52" s="3" t="s">
        <v>45</v>
      </c>
      <c r="Q52" s="3" t="s">
        <v>77</v>
      </c>
      <c r="R52" s="3">
        <v>0</v>
      </c>
      <c r="S52" s="3">
        <v>0</v>
      </c>
      <c r="T52" s="3">
        <v>0</v>
      </c>
      <c r="U52" s="3">
        <v>0</v>
      </c>
      <c r="V52" s="15">
        <v>2.2000000000000002</v>
      </c>
      <c r="W52" s="14">
        <v>10</v>
      </c>
      <c r="X52" s="14" t="s">
        <v>46</v>
      </c>
      <c r="Y52" s="4"/>
      <c r="Z52" s="4"/>
      <c r="AA52" s="4"/>
      <c r="AB52" s="4"/>
      <c r="AC52" s="4"/>
      <c r="AD52" s="5"/>
      <c r="AE52" s="6"/>
      <c r="AF52" s="6"/>
      <c r="AG52" s="10" t="s">
        <v>130</v>
      </c>
      <c r="AH52" s="14" t="s">
        <v>232</v>
      </c>
      <c r="AI52" s="10" t="s">
        <v>78</v>
      </c>
      <c r="AJ52" s="16" t="s">
        <v>125</v>
      </c>
      <c r="AK52" s="16" t="s">
        <v>43</v>
      </c>
      <c r="AL52" s="16">
        <v>1881</v>
      </c>
      <c r="AM52" s="16">
        <v>0</v>
      </c>
      <c r="AN52" s="16">
        <v>0</v>
      </c>
      <c r="AO52" s="16">
        <v>0</v>
      </c>
      <c r="AP52" s="16">
        <v>1881</v>
      </c>
      <c r="AQ52" s="16">
        <v>3762</v>
      </c>
      <c r="AR52" s="17">
        <v>1</v>
      </c>
      <c r="AS52" s="17">
        <v>0</v>
      </c>
      <c r="AT52" s="17">
        <v>0</v>
      </c>
      <c r="AU52" s="17">
        <v>0</v>
      </c>
      <c r="AV52" s="18">
        <f>(BA52/12)*6</f>
        <v>110</v>
      </c>
      <c r="AW52" s="18">
        <f>(BB52/12)*6</f>
        <v>0</v>
      </c>
      <c r="AX52" s="14">
        <v>0</v>
      </c>
      <c r="AY52" s="14">
        <v>0</v>
      </c>
      <c r="AZ52" s="18">
        <f t="shared" ref="AZ52:AZ60" si="0">SUM(AV52,AW52,AX52)</f>
        <v>110</v>
      </c>
      <c r="BA52" s="14">
        <v>220</v>
      </c>
      <c r="BB52" s="14">
        <v>0</v>
      </c>
      <c r="BC52" s="14">
        <v>0</v>
      </c>
      <c r="BD52" s="14">
        <v>0</v>
      </c>
      <c r="BE52" s="14">
        <f t="shared" ref="BE52:BE60" si="1">SUM(BA52,BB52,BC52)</f>
        <v>220</v>
      </c>
      <c r="BF52" s="19">
        <f>[1]Analiza!$BG104*AR52</f>
        <v>0</v>
      </c>
      <c r="BG52" s="14">
        <f>[1]Analiza!$BG104*AS52</f>
        <v>0</v>
      </c>
      <c r="BH52" s="14">
        <f>[1]Analiza!$BG104*AT52</f>
        <v>0</v>
      </c>
      <c r="BI52" s="14">
        <f>[1]Analiza!$BG104*AU52</f>
        <v>0</v>
      </c>
      <c r="BJ52" s="50">
        <f t="shared" ref="BJ52:BJ104" si="2">BF52+BG52+BH52+BI52</f>
        <v>0</v>
      </c>
      <c r="BK52" s="18">
        <f>(BA52/12)*4</f>
        <v>73.333333333333329</v>
      </c>
      <c r="BL52" s="18">
        <f>(BB52/12)*4</f>
        <v>0</v>
      </c>
      <c r="BM52" s="18">
        <f>SUM(BK52,BL52)</f>
        <v>73.333333333333329</v>
      </c>
      <c r="BN52" s="51" t="s">
        <v>309</v>
      </c>
    </row>
    <row r="53" spans="1:66" x14ac:dyDescent="0.25">
      <c r="A53" s="7">
        <v>2</v>
      </c>
      <c r="B53" s="7">
        <v>1</v>
      </c>
      <c r="C53" s="11" t="s">
        <v>38</v>
      </c>
      <c r="D53" s="3" t="s">
        <v>72</v>
      </c>
      <c r="E53" s="3" t="s">
        <v>73</v>
      </c>
      <c r="F53" s="3" t="s">
        <v>74</v>
      </c>
      <c r="G53" s="3" t="s">
        <v>75</v>
      </c>
      <c r="H53" s="3" t="s">
        <v>76</v>
      </c>
      <c r="I53" s="3" t="s">
        <v>275</v>
      </c>
      <c r="J53" s="3" t="s">
        <v>129</v>
      </c>
      <c r="K53" s="14" t="s">
        <v>166</v>
      </c>
      <c r="L53" s="3" t="s">
        <v>52</v>
      </c>
      <c r="M53" s="3" t="s">
        <v>40</v>
      </c>
      <c r="N53" s="3" t="s">
        <v>39</v>
      </c>
      <c r="O53" s="3" t="s">
        <v>41</v>
      </c>
      <c r="P53" s="3" t="s">
        <v>45</v>
      </c>
      <c r="Q53" s="3" t="s">
        <v>77</v>
      </c>
      <c r="R53" s="3">
        <v>0</v>
      </c>
      <c r="S53" s="3">
        <v>0</v>
      </c>
      <c r="T53" s="3">
        <v>0</v>
      </c>
      <c r="U53" s="3">
        <v>0</v>
      </c>
      <c r="V53" s="15">
        <v>2.2000000000000002</v>
      </c>
      <c r="W53" s="14">
        <v>10</v>
      </c>
      <c r="X53" s="14" t="s">
        <v>46</v>
      </c>
      <c r="Y53" s="4"/>
      <c r="Z53" s="4"/>
      <c r="AA53" s="4"/>
      <c r="AB53" s="4"/>
      <c r="AC53" s="4"/>
      <c r="AD53" s="5"/>
      <c r="AE53" s="6"/>
      <c r="AF53" s="6"/>
      <c r="AG53" s="10" t="s">
        <v>131</v>
      </c>
      <c r="AH53" s="14" t="s">
        <v>234</v>
      </c>
      <c r="AI53" s="10" t="s">
        <v>79</v>
      </c>
      <c r="AJ53" s="16" t="s">
        <v>125</v>
      </c>
      <c r="AK53" s="16" t="s">
        <v>43</v>
      </c>
      <c r="AL53" s="16">
        <v>22384</v>
      </c>
      <c r="AM53" s="16">
        <v>0</v>
      </c>
      <c r="AN53" s="16">
        <v>0</v>
      </c>
      <c r="AO53" s="16">
        <v>0</v>
      </c>
      <c r="AP53" s="16">
        <v>22384</v>
      </c>
      <c r="AQ53" s="16">
        <v>44768</v>
      </c>
      <c r="AR53" s="17">
        <v>1</v>
      </c>
      <c r="AS53" s="17">
        <v>0</v>
      </c>
      <c r="AT53" s="17">
        <v>0</v>
      </c>
      <c r="AU53" s="17">
        <v>0</v>
      </c>
      <c r="AV53" s="18">
        <f t="shared" ref="AV53:AV104" si="3">(BA53/12)*6</f>
        <v>120</v>
      </c>
      <c r="AW53" s="18">
        <f t="shared" ref="AW53:AW104" si="4">(BB53/12)*6</f>
        <v>0</v>
      </c>
      <c r="AX53" s="14">
        <v>0</v>
      </c>
      <c r="AY53" s="14">
        <v>0</v>
      </c>
      <c r="AZ53" s="18">
        <f t="shared" si="0"/>
        <v>120</v>
      </c>
      <c r="BA53" s="14">
        <v>240</v>
      </c>
      <c r="BB53" s="14">
        <v>0</v>
      </c>
      <c r="BC53" s="14">
        <v>0</v>
      </c>
      <c r="BD53" s="14">
        <v>0</v>
      </c>
      <c r="BE53" s="14">
        <f t="shared" si="1"/>
        <v>240</v>
      </c>
      <c r="BF53" s="19">
        <f>[1]Analiza!$BG105*AR53</f>
        <v>0</v>
      </c>
      <c r="BG53" s="14">
        <f>[1]Analiza!$BG105*AS53</f>
        <v>0</v>
      </c>
      <c r="BH53" s="14">
        <f>[1]Analiza!$BG105*AT53</f>
        <v>0</v>
      </c>
      <c r="BI53" s="14">
        <f>[1]Analiza!$BG105*AU53</f>
        <v>0</v>
      </c>
      <c r="BJ53" s="50">
        <f t="shared" si="2"/>
        <v>0</v>
      </c>
      <c r="BK53" s="18">
        <f t="shared" ref="BK53:BK104" si="5">(BA53/12)*4</f>
        <v>80</v>
      </c>
      <c r="BL53" s="18">
        <f t="shared" ref="BL53:BL104" si="6">(BB53/12)*4</f>
        <v>0</v>
      </c>
      <c r="BM53" s="18">
        <f t="shared" ref="BM53:BM104" si="7">SUM(BK53,BL53)</f>
        <v>80</v>
      </c>
      <c r="BN53" s="51" t="s">
        <v>309</v>
      </c>
    </row>
    <row r="54" spans="1:66" x14ac:dyDescent="0.25">
      <c r="A54" s="7">
        <v>3</v>
      </c>
      <c r="B54" s="7">
        <v>1</v>
      </c>
      <c r="C54" s="11" t="s">
        <v>38</v>
      </c>
      <c r="D54" s="3" t="s">
        <v>72</v>
      </c>
      <c r="E54" s="3" t="s">
        <v>73</v>
      </c>
      <c r="F54" s="3" t="s">
        <v>74</v>
      </c>
      <c r="G54" s="3" t="s">
        <v>75</v>
      </c>
      <c r="H54" s="3" t="s">
        <v>76</v>
      </c>
      <c r="I54" s="3" t="s">
        <v>48</v>
      </c>
      <c r="J54" s="3" t="s">
        <v>129</v>
      </c>
      <c r="K54" s="14" t="s">
        <v>166</v>
      </c>
      <c r="L54" s="3" t="s">
        <v>58</v>
      </c>
      <c r="M54" s="3" t="s">
        <v>40</v>
      </c>
      <c r="N54" s="3" t="s">
        <v>39</v>
      </c>
      <c r="O54" s="3" t="s">
        <v>41</v>
      </c>
      <c r="P54" s="3" t="s">
        <v>45</v>
      </c>
      <c r="Q54" s="3" t="s">
        <v>77</v>
      </c>
      <c r="R54" s="3">
        <v>0</v>
      </c>
      <c r="S54" s="3">
        <v>0</v>
      </c>
      <c r="T54" s="3">
        <v>0</v>
      </c>
      <c r="U54" s="3">
        <v>0</v>
      </c>
      <c r="V54" s="15">
        <v>2.2000000000000002</v>
      </c>
      <c r="W54" s="14">
        <v>10</v>
      </c>
      <c r="X54" s="14" t="s">
        <v>46</v>
      </c>
      <c r="Y54" s="4"/>
      <c r="Z54" s="4"/>
      <c r="AA54" s="4"/>
      <c r="AB54" s="4"/>
      <c r="AC54" s="4"/>
      <c r="AD54" s="5"/>
      <c r="AE54" s="6"/>
      <c r="AF54" s="6"/>
      <c r="AG54" s="10">
        <v>83658597</v>
      </c>
      <c r="AH54" s="14" t="s">
        <v>235</v>
      </c>
      <c r="AI54" s="10" t="s">
        <v>80</v>
      </c>
      <c r="AJ54" s="16" t="s">
        <v>125</v>
      </c>
      <c r="AK54" s="16" t="s">
        <v>43</v>
      </c>
      <c r="AL54" s="16">
        <v>63</v>
      </c>
      <c r="AM54" s="16">
        <v>0</v>
      </c>
      <c r="AN54" s="16">
        <v>0</v>
      </c>
      <c r="AO54" s="16">
        <v>0</v>
      </c>
      <c r="AP54" s="16">
        <v>63</v>
      </c>
      <c r="AQ54" s="16">
        <v>126</v>
      </c>
      <c r="AR54" s="17">
        <v>1</v>
      </c>
      <c r="AS54" s="17">
        <v>0</v>
      </c>
      <c r="AT54" s="17">
        <v>0</v>
      </c>
      <c r="AU54" s="17">
        <v>0</v>
      </c>
      <c r="AV54" s="18">
        <f t="shared" si="3"/>
        <v>96</v>
      </c>
      <c r="AW54" s="18">
        <f t="shared" si="4"/>
        <v>0</v>
      </c>
      <c r="AX54" s="14">
        <v>0</v>
      </c>
      <c r="AY54" s="14">
        <v>0</v>
      </c>
      <c r="AZ54" s="18">
        <f t="shared" si="0"/>
        <v>96</v>
      </c>
      <c r="BA54" s="10">
        <v>192</v>
      </c>
      <c r="BB54" s="14">
        <v>0</v>
      </c>
      <c r="BC54" s="14">
        <v>0</v>
      </c>
      <c r="BD54" s="14">
        <v>0</v>
      </c>
      <c r="BE54" s="14">
        <f t="shared" si="1"/>
        <v>192</v>
      </c>
      <c r="BF54" s="19">
        <f>[1]Analiza!$BG106*AR54</f>
        <v>0</v>
      </c>
      <c r="BG54" s="14">
        <f>[1]Analiza!$BG106*AS54</f>
        <v>0</v>
      </c>
      <c r="BH54" s="14">
        <f>[1]Analiza!$BG106*AT54</f>
        <v>0</v>
      </c>
      <c r="BI54" s="14">
        <f>[1]Analiza!$BG106*AU54</f>
        <v>0</v>
      </c>
      <c r="BJ54" s="50">
        <f t="shared" si="2"/>
        <v>0</v>
      </c>
      <c r="BK54" s="18">
        <f t="shared" si="5"/>
        <v>64</v>
      </c>
      <c r="BL54" s="18">
        <f t="shared" si="6"/>
        <v>0</v>
      </c>
      <c r="BM54" s="18">
        <f t="shared" si="7"/>
        <v>64</v>
      </c>
      <c r="BN54" s="51" t="s">
        <v>309</v>
      </c>
    </row>
    <row r="55" spans="1:66" x14ac:dyDescent="0.25">
      <c r="A55" s="7">
        <v>4</v>
      </c>
      <c r="B55" s="7">
        <v>1</v>
      </c>
      <c r="C55" s="11" t="s">
        <v>38</v>
      </c>
      <c r="D55" s="3" t="s">
        <v>72</v>
      </c>
      <c r="E55" s="3" t="s">
        <v>73</v>
      </c>
      <c r="F55" s="3" t="s">
        <v>74</v>
      </c>
      <c r="G55" s="3" t="s">
        <v>75</v>
      </c>
      <c r="H55" s="3" t="s">
        <v>76</v>
      </c>
      <c r="I55" s="3" t="s">
        <v>276</v>
      </c>
      <c r="J55" s="3" t="s">
        <v>129</v>
      </c>
      <c r="K55" s="14" t="s">
        <v>167</v>
      </c>
      <c r="L55" s="3" t="s">
        <v>54</v>
      </c>
      <c r="M55" s="3" t="s">
        <v>40</v>
      </c>
      <c r="N55" s="3" t="s">
        <v>39</v>
      </c>
      <c r="O55" s="3" t="s">
        <v>41</v>
      </c>
      <c r="P55" s="3" t="s">
        <v>45</v>
      </c>
      <c r="Q55" s="3" t="s">
        <v>77</v>
      </c>
      <c r="R55" s="3">
        <v>0</v>
      </c>
      <c r="S55" s="3">
        <v>0</v>
      </c>
      <c r="T55" s="3">
        <v>0</v>
      </c>
      <c r="U55" s="3">
        <v>0</v>
      </c>
      <c r="V55" s="15">
        <v>2.2000000000000002</v>
      </c>
      <c r="W55" s="14">
        <v>10</v>
      </c>
      <c r="X55" s="14" t="s">
        <v>46</v>
      </c>
      <c r="Y55" s="4"/>
      <c r="Z55" s="4"/>
      <c r="AA55" s="4"/>
      <c r="AB55" s="4"/>
      <c r="AC55" s="4"/>
      <c r="AD55" s="5"/>
      <c r="AE55" s="6"/>
      <c r="AF55" s="6"/>
      <c r="AG55" s="10" t="s">
        <v>132</v>
      </c>
      <c r="AH55" s="14" t="s">
        <v>236</v>
      </c>
      <c r="AI55" s="10" t="s">
        <v>81</v>
      </c>
      <c r="AJ55" s="16" t="s">
        <v>125</v>
      </c>
      <c r="AK55" s="16" t="s">
        <v>43</v>
      </c>
      <c r="AL55" s="16">
        <v>37</v>
      </c>
      <c r="AM55" s="16">
        <v>113</v>
      </c>
      <c r="AN55" s="16">
        <v>0</v>
      </c>
      <c r="AO55" s="16">
        <v>0</v>
      </c>
      <c r="AP55" s="16">
        <v>150</v>
      </c>
      <c r="AQ55" s="16">
        <v>300</v>
      </c>
      <c r="AR55" s="17">
        <v>0.24666666666666667</v>
      </c>
      <c r="AS55" s="17">
        <v>0.7533333333333333</v>
      </c>
      <c r="AT55" s="17">
        <v>0</v>
      </c>
      <c r="AU55" s="17">
        <v>0</v>
      </c>
      <c r="AV55" s="18">
        <f t="shared" si="3"/>
        <v>376</v>
      </c>
      <c r="AW55" s="18">
        <f t="shared" si="4"/>
        <v>0</v>
      </c>
      <c r="AX55" s="14">
        <v>0</v>
      </c>
      <c r="AY55" s="14">
        <v>0</v>
      </c>
      <c r="AZ55" s="18">
        <f t="shared" si="0"/>
        <v>376</v>
      </c>
      <c r="BA55" s="10">
        <v>752</v>
      </c>
      <c r="BB55" s="14">
        <v>0</v>
      </c>
      <c r="BC55" s="14">
        <v>0</v>
      </c>
      <c r="BD55" s="14">
        <v>0</v>
      </c>
      <c r="BE55" s="14">
        <f t="shared" si="1"/>
        <v>752</v>
      </c>
      <c r="BF55" s="19">
        <f>[1]Analiza!$BG107*AR55</f>
        <v>0</v>
      </c>
      <c r="BG55" s="14">
        <f>[1]Analiza!$BG107*AS55</f>
        <v>0</v>
      </c>
      <c r="BH55" s="14">
        <f>[1]Analiza!$BG107*AT55</f>
        <v>0</v>
      </c>
      <c r="BI55" s="14">
        <f>[1]Analiza!$BG107*AU55</f>
        <v>0</v>
      </c>
      <c r="BJ55" s="50">
        <f t="shared" si="2"/>
        <v>0</v>
      </c>
      <c r="BK55" s="18">
        <f t="shared" si="5"/>
        <v>250.66666666666666</v>
      </c>
      <c r="BL55" s="18">
        <f t="shared" si="6"/>
        <v>0</v>
      </c>
      <c r="BM55" s="18">
        <f t="shared" si="7"/>
        <v>250.66666666666666</v>
      </c>
      <c r="BN55" s="51" t="s">
        <v>309</v>
      </c>
    </row>
    <row r="56" spans="1:66" x14ac:dyDescent="0.25">
      <c r="A56" s="7">
        <v>5</v>
      </c>
      <c r="B56" s="7">
        <v>1</v>
      </c>
      <c r="C56" s="11" t="s">
        <v>38</v>
      </c>
      <c r="D56" s="3" t="s">
        <v>72</v>
      </c>
      <c r="E56" s="3" t="s">
        <v>73</v>
      </c>
      <c r="F56" s="3" t="s">
        <v>74</v>
      </c>
      <c r="G56" s="3" t="s">
        <v>75</v>
      </c>
      <c r="H56" s="3" t="s">
        <v>76</v>
      </c>
      <c r="I56" s="3" t="s">
        <v>59</v>
      </c>
      <c r="J56" s="3" t="s">
        <v>129</v>
      </c>
      <c r="K56" s="14" t="s">
        <v>168</v>
      </c>
      <c r="L56" s="3" t="s">
        <v>51</v>
      </c>
      <c r="M56" s="3" t="s">
        <v>40</v>
      </c>
      <c r="N56" s="3" t="s">
        <v>39</v>
      </c>
      <c r="O56" s="3" t="s">
        <v>41</v>
      </c>
      <c r="P56" s="3" t="s">
        <v>45</v>
      </c>
      <c r="Q56" s="3" t="s">
        <v>77</v>
      </c>
      <c r="R56" s="3">
        <v>0</v>
      </c>
      <c r="S56" s="3">
        <v>0</v>
      </c>
      <c r="T56" s="3">
        <v>0</v>
      </c>
      <c r="U56" s="3">
        <v>0</v>
      </c>
      <c r="V56" s="15">
        <v>2.2000000000000002</v>
      </c>
      <c r="W56" s="14">
        <v>10</v>
      </c>
      <c r="X56" s="14" t="s">
        <v>46</v>
      </c>
      <c r="Y56" s="4"/>
      <c r="Z56" s="4"/>
      <c r="AA56" s="4"/>
      <c r="AB56" s="4"/>
      <c r="AC56" s="4"/>
      <c r="AD56" s="5"/>
      <c r="AE56" s="6"/>
      <c r="AF56" s="6"/>
      <c r="AG56" s="10" t="s">
        <v>133</v>
      </c>
      <c r="AH56" s="14" t="s">
        <v>237</v>
      </c>
      <c r="AI56" s="10" t="s">
        <v>82</v>
      </c>
      <c r="AJ56" s="16" t="s">
        <v>125</v>
      </c>
      <c r="AK56" s="16" t="s">
        <v>43</v>
      </c>
      <c r="AL56" s="16">
        <v>42</v>
      </c>
      <c r="AM56" s="16">
        <v>0</v>
      </c>
      <c r="AN56" s="16">
        <v>0</v>
      </c>
      <c r="AO56" s="16">
        <v>0</v>
      </c>
      <c r="AP56" s="16">
        <v>42</v>
      </c>
      <c r="AQ56" s="16">
        <v>84</v>
      </c>
      <c r="AR56" s="17">
        <v>1</v>
      </c>
      <c r="AS56" s="17">
        <v>0</v>
      </c>
      <c r="AT56" s="17">
        <v>0</v>
      </c>
      <c r="AU56" s="17">
        <v>0</v>
      </c>
      <c r="AV56" s="18">
        <f t="shared" si="3"/>
        <v>1090</v>
      </c>
      <c r="AW56" s="18">
        <f t="shared" si="4"/>
        <v>0</v>
      </c>
      <c r="AX56" s="14">
        <v>0</v>
      </c>
      <c r="AY56" s="14">
        <v>0</v>
      </c>
      <c r="AZ56" s="18">
        <f t="shared" si="0"/>
        <v>1090</v>
      </c>
      <c r="BA56" s="10">
        <v>2180</v>
      </c>
      <c r="BB56" s="14">
        <v>0</v>
      </c>
      <c r="BC56" s="14">
        <v>0</v>
      </c>
      <c r="BD56" s="14">
        <v>0</v>
      </c>
      <c r="BE56" s="14">
        <f t="shared" si="1"/>
        <v>2180</v>
      </c>
      <c r="BF56" s="19">
        <f>[1]Analiza!$BG108*AR56</f>
        <v>0</v>
      </c>
      <c r="BG56" s="14">
        <f>[1]Analiza!$BG108*AS56</f>
        <v>0</v>
      </c>
      <c r="BH56" s="14">
        <f>[1]Analiza!$BG108*AT56</f>
        <v>0</v>
      </c>
      <c r="BI56" s="14">
        <f>[1]Analiza!$BG108*AU56</f>
        <v>0</v>
      </c>
      <c r="BJ56" s="50">
        <f t="shared" si="2"/>
        <v>0</v>
      </c>
      <c r="BK56" s="18">
        <f t="shared" si="5"/>
        <v>726.66666666666663</v>
      </c>
      <c r="BL56" s="18">
        <f t="shared" si="6"/>
        <v>0</v>
      </c>
      <c r="BM56" s="18">
        <f t="shared" si="7"/>
        <v>726.66666666666663</v>
      </c>
      <c r="BN56" s="51" t="s">
        <v>309</v>
      </c>
    </row>
    <row r="57" spans="1:66" x14ac:dyDescent="0.25">
      <c r="A57" s="7">
        <v>6</v>
      </c>
      <c r="B57" s="7">
        <v>1</v>
      </c>
      <c r="C57" s="11" t="s">
        <v>38</v>
      </c>
      <c r="D57" s="3" t="s">
        <v>72</v>
      </c>
      <c r="E57" s="3" t="s">
        <v>73</v>
      </c>
      <c r="F57" s="3" t="s">
        <v>74</v>
      </c>
      <c r="G57" s="3" t="s">
        <v>75</v>
      </c>
      <c r="H57" s="3" t="s">
        <v>76</v>
      </c>
      <c r="I57" s="3" t="s">
        <v>62</v>
      </c>
      <c r="J57" s="3" t="s">
        <v>129</v>
      </c>
      <c r="K57" s="14" t="s">
        <v>169</v>
      </c>
      <c r="L57" s="3" t="s">
        <v>69</v>
      </c>
      <c r="M57" s="3" t="s">
        <v>40</v>
      </c>
      <c r="N57" s="3" t="s">
        <v>39</v>
      </c>
      <c r="O57" s="3" t="s">
        <v>41</v>
      </c>
      <c r="P57" s="3" t="s">
        <v>45</v>
      </c>
      <c r="Q57" s="3" t="s">
        <v>77</v>
      </c>
      <c r="R57" s="3">
        <v>0</v>
      </c>
      <c r="S57" s="3">
        <v>0</v>
      </c>
      <c r="T57" s="3">
        <v>0</v>
      </c>
      <c r="U57" s="3">
        <v>0</v>
      </c>
      <c r="V57" s="15">
        <v>2.2000000000000002</v>
      </c>
      <c r="W57" s="14">
        <v>10</v>
      </c>
      <c r="X57" s="14" t="s">
        <v>46</v>
      </c>
      <c r="Y57" s="4"/>
      <c r="Z57" s="4"/>
      <c r="AA57" s="4"/>
      <c r="AB57" s="4"/>
      <c r="AC57" s="4"/>
      <c r="AD57" s="5"/>
      <c r="AE57" s="6"/>
      <c r="AF57" s="6"/>
      <c r="AG57" s="10" t="s">
        <v>134</v>
      </c>
      <c r="AH57" s="14" t="s">
        <v>239</v>
      </c>
      <c r="AI57" s="10" t="s">
        <v>83</v>
      </c>
      <c r="AJ57" s="16" t="s">
        <v>125</v>
      </c>
      <c r="AK57" s="16" t="s">
        <v>43</v>
      </c>
      <c r="AL57" s="16">
        <v>190</v>
      </c>
      <c r="AM57" s="16">
        <v>0</v>
      </c>
      <c r="AN57" s="16">
        <v>0</v>
      </c>
      <c r="AO57" s="16">
        <v>0</v>
      </c>
      <c r="AP57" s="16">
        <v>190</v>
      </c>
      <c r="AQ57" s="16">
        <v>380</v>
      </c>
      <c r="AR57" s="17">
        <v>1</v>
      </c>
      <c r="AS57" s="17">
        <v>0</v>
      </c>
      <c r="AT57" s="17">
        <v>0</v>
      </c>
      <c r="AU57" s="17">
        <v>0</v>
      </c>
      <c r="AV57" s="18">
        <f t="shared" si="3"/>
        <v>210</v>
      </c>
      <c r="AW57" s="18">
        <f t="shared" si="4"/>
        <v>0</v>
      </c>
      <c r="AX57" s="14">
        <v>0</v>
      </c>
      <c r="AY57" s="14">
        <v>0</v>
      </c>
      <c r="AZ57" s="18">
        <f t="shared" si="0"/>
        <v>210</v>
      </c>
      <c r="BA57" s="10">
        <v>420</v>
      </c>
      <c r="BB57" s="14">
        <v>0</v>
      </c>
      <c r="BC57" s="14">
        <v>0</v>
      </c>
      <c r="BD57" s="14">
        <v>0</v>
      </c>
      <c r="BE57" s="14">
        <f t="shared" si="1"/>
        <v>420</v>
      </c>
      <c r="BF57" s="19">
        <f>[1]Analiza!$BG109*AR57</f>
        <v>0</v>
      </c>
      <c r="BG57" s="14">
        <f>[1]Analiza!$BG109*AS57</f>
        <v>0</v>
      </c>
      <c r="BH57" s="14">
        <f>[1]Analiza!$BG109*AT57</f>
        <v>0</v>
      </c>
      <c r="BI57" s="14">
        <f>[1]Analiza!$BG109*AU57</f>
        <v>0</v>
      </c>
      <c r="BJ57" s="50">
        <f t="shared" si="2"/>
        <v>0</v>
      </c>
      <c r="BK57" s="18">
        <f t="shared" si="5"/>
        <v>140</v>
      </c>
      <c r="BL57" s="18">
        <f t="shared" si="6"/>
        <v>0</v>
      </c>
      <c r="BM57" s="18">
        <f t="shared" si="7"/>
        <v>140</v>
      </c>
      <c r="BN57" s="51" t="s">
        <v>309</v>
      </c>
    </row>
    <row r="58" spans="1:66" x14ac:dyDescent="0.25">
      <c r="A58" s="7">
        <v>7</v>
      </c>
      <c r="B58" s="7">
        <v>1</v>
      </c>
      <c r="C58" s="11" t="s">
        <v>38</v>
      </c>
      <c r="D58" s="3" t="s">
        <v>72</v>
      </c>
      <c r="E58" s="3" t="s">
        <v>73</v>
      </c>
      <c r="F58" s="3" t="s">
        <v>74</v>
      </c>
      <c r="G58" s="3" t="s">
        <v>75</v>
      </c>
      <c r="H58" s="3" t="s">
        <v>76</v>
      </c>
      <c r="I58" s="3" t="s">
        <v>277</v>
      </c>
      <c r="J58" s="3" t="s">
        <v>129</v>
      </c>
      <c r="K58" s="21" t="s">
        <v>170</v>
      </c>
      <c r="L58" s="3" t="s">
        <v>71</v>
      </c>
      <c r="M58" s="3" t="s">
        <v>40</v>
      </c>
      <c r="N58" s="3" t="s">
        <v>39</v>
      </c>
      <c r="O58" s="3" t="s">
        <v>41</v>
      </c>
      <c r="P58" s="3" t="s">
        <v>45</v>
      </c>
      <c r="Q58" s="3" t="s">
        <v>77</v>
      </c>
      <c r="R58" s="3">
        <v>0</v>
      </c>
      <c r="S58" s="3">
        <v>0</v>
      </c>
      <c r="T58" s="3">
        <v>0</v>
      </c>
      <c r="U58" s="3">
        <v>0</v>
      </c>
      <c r="V58" s="15">
        <v>2.2000000000000002</v>
      </c>
      <c r="W58" s="21">
        <v>10</v>
      </c>
      <c r="X58" s="21" t="s">
        <v>46</v>
      </c>
      <c r="Y58" s="4"/>
      <c r="Z58" s="4"/>
      <c r="AA58" s="4"/>
      <c r="AB58" s="4"/>
      <c r="AC58" s="4"/>
      <c r="AD58" s="5"/>
      <c r="AE58" s="6"/>
      <c r="AF58" s="6"/>
      <c r="AG58" s="10" t="s">
        <v>135</v>
      </c>
      <c r="AH58" s="14" t="s">
        <v>240</v>
      </c>
      <c r="AI58" s="10" t="s">
        <v>84</v>
      </c>
      <c r="AJ58" s="16" t="s">
        <v>125</v>
      </c>
      <c r="AK58" s="16" t="s">
        <v>43</v>
      </c>
      <c r="AL58" s="16">
        <v>35</v>
      </c>
      <c r="AM58" s="16">
        <v>0</v>
      </c>
      <c r="AN58" s="16">
        <v>0</v>
      </c>
      <c r="AO58" s="16">
        <v>0</v>
      </c>
      <c r="AP58" s="16">
        <v>35</v>
      </c>
      <c r="AQ58" s="16">
        <v>70</v>
      </c>
      <c r="AR58" s="17">
        <v>1</v>
      </c>
      <c r="AS58" s="17">
        <v>0</v>
      </c>
      <c r="AT58" s="17">
        <v>0</v>
      </c>
      <c r="AU58" s="17">
        <v>0</v>
      </c>
      <c r="AV58" s="18">
        <f t="shared" si="3"/>
        <v>100</v>
      </c>
      <c r="AW58" s="18">
        <f t="shared" si="4"/>
        <v>0</v>
      </c>
      <c r="AX58" s="14">
        <v>0</v>
      </c>
      <c r="AY58" s="14">
        <v>0</v>
      </c>
      <c r="AZ58" s="18">
        <f t="shared" si="0"/>
        <v>100</v>
      </c>
      <c r="BA58" s="22">
        <v>200</v>
      </c>
      <c r="BB58" s="14">
        <v>0</v>
      </c>
      <c r="BC58" s="14">
        <v>0</v>
      </c>
      <c r="BD58" s="14">
        <v>0</v>
      </c>
      <c r="BE58" s="14">
        <f t="shared" si="1"/>
        <v>200</v>
      </c>
      <c r="BF58" s="19">
        <f>[1]Analiza!$BG110*AR58</f>
        <v>0</v>
      </c>
      <c r="BG58" s="14">
        <f>[1]Analiza!$BG110*AS58</f>
        <v>0</v>
      </c>
      <c r="BH58" s="14">
        <f>[1]Analiza!$BG110*AT58</f>
        <v>0</v>
      </c>
      <c r="BI58" s="14">
        <f>[1]Analiza!$BG110*AU58</f>
        <v>0</v>
      </c>
      <c r="BJ58" s="50">
        <f t="shared" si="2"/>
        <v>0</v>
      </c>
      <c r="BK58" s="18">
        <f t="shared" si="5"/>
        <v>66.666666666666671</v>
      </c>
      <c r="BL58" s="18">
        <f t="shared" si="6"/>
        <v>0</v>
      </c>
      <c r="BM58" s="18">
        <f t="shared" si="7"/>
        <v>66.666666666666671</v>
      </c>
      <c r="BN58" s="51" t="s">
        <v>309</v>
      </c>
    </row>
    <row r="59" spans="1:66" x14ac:dyDescent="0.25">
      <c r="A59" s="7">
        <v>8</v>
      </c>
      <c r="B59" s="7">
        <v>1</v>
      </c>
      <c r="C59" s="11" t="s">
        <v>38</v>
      </c>
      <c r="D59" s="3" t="s">
        <v>72</v>
      </c>
      <c r="E59" s="3" t="s">
        <v>73</v>
      </c>
      <c r="F59" s="3" t="s">
        <v>74</v>
      </c>
      <c r="G59" s="3" t="s">
        <v>75</v>
      </c>
      <c r="H59" s="3" t="s">
        <v>76</v>
      </c>
      <c r="I59" s="3" t="s">
        <v>53</v>
      </c>
      <c r="J59" s="3" t="s">
        <v>129</v>
      </c>
      <c r="K59" s="21" t="s">
        <v>170</v>
      </c>
      <c r="L59" s="3" t="s">
        <v>67</v>
      </c>
      <c r="M59" s="3" t="s">
        <v>40</v>
      </c>
      <c r="N59" s="3" t="s">
        <v>39</v>
      </c>
      <c r="O59" s="3" t="s">
        <v>41</v>
      </c>
      <c r="P59" s="3" t="s">
        <v>45</v>
      </c>
      <c r="Q59" s="3" t="s">
        <v>77</v>
      </c>
      <c r="R59" s="3">
        <v>0</v>
      </c>
      <c r="S59" s="3">
        <v>0</v>
      </c>
      <c r="T59" s="3">
        <v>0</v>
      </c>
      <c r="U59" s="3">
        <v>0</v>
      </c>
      <c r="V59" s="15">
        <v>2.2000000000000002</v>
      </c>
      <c r="W59" s="21">
        <v>10</v>
      </c>
      <c r="X59" s="21" t="s">
        <v>46</v>
      </c>
      <c r="Y59" s="4"/>
      <c r="Z59" s="4"/>
      <c r="AA59" s="4"/>
      <c r="AB59" s="4"/>
      <c r="AC59" s="4"/>
      <c r="AD59" s="5"/>
      <c r="AE59" s="6"/>
      <c r="AF59" s="6"/>
      <c r="AG59" s="10" t="s">
        <v>136</v>
      </c>
      <c r="AH59" s="14" t="s">
        <v>241</v>
      </c>
      <c r="AI59" s="10" t="s">
        <v>85</v>
      </c>
      <c r="AJ59" s="16" t="s">
        <v>125</v>
      </c>
      <c r="AK59" s="16" t="s">
        <v>43</v>
      </c>
      <c r="AL59" s="16">
        <v>123</v>
      </c>
      <c r="AM59" s="16">
        <v>0</v>
      </c>
      <c r="AN59" s="16">
        <v>0</v>
      </c>
      <c r="AO59" s="16">
        <v>0</v>
      </c>
      <c r="AP59" s="16">
        <v>123</v>
      </c>
      <c r="AQ59" s="16">
        <v>246</v>
      </c>
      <c r="AR59" s="17">
        <v>1</v>
      </c>
      <c r="AS59" s="17">
        <v>0</v>
      </c>
      <c r="AT59" s="17">
        <v>0</v>
      </c>
      <c r="AU59" s="17">
        <v>0</v>
      </c>
      <c r="AV59" s="18">
        <f t="shared" si="3"/>
        <v>1050</v>
      </c>
      <c r="AW59" s="18">
        <f t="shared" si="4"/>
        <v>0</v>
      </c>
      <c r="AX59" s="14">
        <v>0</v>
      </c>
      <c r="AY59" s="14">
        <v>0</v>
      </c>
      <c r="AZ59" s="18">
        <f t="shared" si="0"/>
        <v>1050</v>
      </c>
      <c r="BA59" s="22">
        <v>2100</v>
      </c>
      <c r="BB59" s="14">
        <v>0</v>
      </c>
      <c r="BC59" s="14">
        <v>0</v>
      </c>
      <c r="BD59" s="14">
        <v>0</v>
      </c>
      <c r="BE59" s="14">
        <f t="shared" si="1"/>
        <v>2100</v>
      </c>
      <c r="BF59" s="19">
        <f>[1]Analiza!$BG111*AR59</f>
        <v>0</v>
      </c>
      <c r="BG59" s="14">
        <f>[1]Analiza!$BG111*AS59</f>
        <v>0</v>
      </c>
      <c r="BH59" s="14">
        <f>[1]Analiza!$BG111*AT59</f>
        <v>0</v>
      </c>
      <c r="BI59" s="14">
        <f>[1]Analiza!$BG111*AU59</f>
        <v>0</v>
      </c>
      <c r="BJ59" s="50">
        <f t="shared" si="2"/>
        <v>0</v>
      </c>
      <c r="BK59" s="18">
        <f t="shared" si="5"/>
        <v>700</v>
      </c>
      <c r="BL59" s="18">
        <f t="shared" si="6"/>
        <v>0</v>
      </c>
      <c r="BM59" s="18">
        <f t="shared" si="7"/>
        <v>700</v>
      </c>
      <c r="BN59" s="51" t="s">
        <v>309</v>
      </c>
    </row>
    <row r="60" spans="1:66" x14ac:dyDescent="0.25">
      <c r="A60" s="7">
        <v>9</v>
      </c>
      <c r="B60" s="7">
        <v>1</v>
      </c>
      <c r="C60" s="11" t="s">
        <v>38</v>
      </c>
      <c r="D60" s="3" t="s">
        <v>72</v>
      </c>
      <c r="E60" s="3" t="s">
        <v>73</v>
      </c>
      <c r="F60" s="3" t="s">
        <v>74</v>
      </c>
      <c r="G60" s="3" t="s">
        <v>75</v>
      </c>
      <c r="H60" s="3" t="s">
        <v>76</v>
      </c>
      <c r="I60" s="3" t="s">
        <v>278</v>
      </c>
      <c r="J60" s="3" t="s">
        <v>129</v>
      </c>
      <c r="K60" s="21" t="s">
        <v>171</v>
      </c>
      <c r="L60" s="3" t="s">
        <v>69</v>
      </c>
      <c r="M60" s="3" t="s">
        <v>40</v>
      </c>
      <c r="N60" s="3" t="s">
        <v>39</v>
      </c>
      <c r="O60" s="3" t="s">
        <v>41</v>
      </c>
      <c r="P60" s="3" t="s">
        <v>45</v>
      </c>
      <c r="Q60" s="3" t="s">
        <v>77</v>
      </c>
      <c r="R60" s="3">
        <v>0</v>
      </c>
      <c r="S60" s="3">
        <v>0</v>
      </c>
      <c r="T60" s="3">
        <v>0</v>
      </c>
      <c r="U60" s="3">
        <v>0</v>
      </c>
      <c r="V60" s="15">
        <v>2.2000000000000002</v>
      </c>
      <c r="W60" s="21">
        <v>10</v>
      </c>
      <c r="X60" s="21" t="s">
        <v>46</v>
      </c>
      <c r="Y60" s="4"/>
      <c r="Z60" s="4"/>
      <c r="AA60" s="4"/>
      <c r="AB60" s="4"/>
      <c r="AC60" s="4"/>
      <c r="AD60" s="5"/>
      <c r="AE60" s="6"/>
      <c r="AF60" s="6"/>
      <c r="AG60" s="10" t="s">
        <v>137</v>
      </c>
      <c r="AH60" s="14" t="s">
        <v>244</v>
      </c>
      <c r="AI60" s="10" t="s">
        <v>86</v>
      </c>
      <c r="AJ60" s="16" t="s">
        <v>125</v>
      </c>
      <c r="AK60" s="16" t="s">
        <v>43</v>
      </c>
      <c r="AL60" s="16">
        <v>120</v>
      </c>
      <c r="AM60" s="16">
        <v>0</v>
      </c>
      <c r="AN60" s="16">
        <v>0</v>
      </c>
      <c r="AO60" s="16">
        <v>0</v>
      </c>
      <c r="AP60" s="16">
        <v>120</v>
      </c>
      <c r="AQ60" s="16">
        <v>240</v>
      </c>
      <c r="AR60" s="17">
        <v>1</v>
      </c>
      <c r="AS60" s="17">
        <v>0</v>
      </c>
      <c r="AT60" s="17">
        <v>0</v>
      </c>
      <c r="AU60" s="17">
        <v>0</v>
      </c>
      <c r="AV60" s="18">
        <f t="shared" si="3"/>
        <v>215</v>
      </c>
      <c r="AW60" s="18">
        <f t="shared" si="4"/>
        <v>0</v>
      </c>
      <c r="AX60" s="14">
        <v>0</v>
      </c>
      <c r="AY60" s="14">
        <v>0</v>
      </c>
      <c r="AZ60" s="18">
        <f t="shared" si="0"/>
        <v>215</v>
      </c>
      <c r="BA60" s="22">
        <v>430</v>
      </c>
      <c r="BB60" s="14">
        <v>0</v>
      </c>
      <c r="BC60" s="14">
        <v>0</v>
      </c>
      <c r="BD60" s="14">
        <v>0</v>
      </c>
      <c r="BE60" s="14">
        <f t="shared" si="1"/>
        <v>430</v>
      </c>
      <c r="BF60" s="19">
        <f>[1]Analiza!$BG112*AR60</f>
        <v>0</v>
      </c>
      <c r="BG60" s="14">
        <f>[1]Analiza!$BG112*AS60</f>
        <v>0</v>
      </c>
      <c r="BH60" s="14">
        <f>[1]Analiza!$BG112*AT60</f>
        <v>0</v>
      </c>
      <c r="BI60" s="14">
        <f>[1]Analiza!$BG112*AU60</f>
        <v>0</v>
      </c>
      <c r="BJ60" s="50">
        <f t="shared" si="2"/>
        <v>0</v>
      </c>
      <c r="BK60" s="18">
        <f t="shared" si="5"/>
        <v>143.33333333333334</v>
      </c>
      <c r="BL60" s="18">
        <f t="shared" si="6"/>
        <v>0</v>
      </c>
      <c r="BM60" s="18">
        <f t="shared" si="7"/>
        <v>143.33333333333334</v>
      </c>
      <c r="BN60" s="51" t="s">
        <v>309</v>
      </c>
    </row>
    <row r="61" spans="1:66" x14ac:dyDescent="0.25">
      <c r="A61" s="7">
        <v>10</v>
      </c>
      <c r="B61" s="7">
        <v>1</v>
      </c>
      <c r="C61" s="11" t="s">
        <v>38</v>
      </c>
      <c r="D61" s="3" t="s">
        <v>72</v>
      </c>
      <c r="E61" s="3" t="s">
        <v>73</v>
      </c>
      <c r="F61" s="3" t="s">
        <v>74</v>
      </c>
      <c r="G61" s="3" t="s">
        <v>75</v>
      </c>
      <c r="H61" s="3" t="s">
        <v>76</v>
      </c>
      <c r="I61" s="3" t="s">
        <v>61</v>
      </c>
      <c r="J61" s="3" t="s">
        <v>129</v>
      </c>
      <c r="K61" s="14" t="s">
        <v>128</v>
      </c>
      <c r="L61" s="3" t="s">
        <v>49</v>
      </c>
      <c r="M61" s="3" t="s">
        <v>40</v>
      </c>
      <c r="N61" s="3" t="s">
        <v>39</v>
      </c>
      <c r="O61" s="3" t="s">
        <v>41</v>
      </c>
      <c r="P61" s="3" t="s">
        <v>45</v>
      </c>
      <c r="Q61" s="3" t="s">
        <v>77</v>
      </c>
      <c r="R61" s="3">
        <v>0</v>
      </c>
      <c r="S61" s="3">
        <v>0</v>
      </c>
      <c r="T61" s="3">
        <v>0</v>
      </c>
      <c r="U61" s="3">
        <v>0</v>
      </c>
      <c r="V61" s="15">
        <v>2.2000000000000002</v>
      </c>
      <c r="W61" s="14">
        <v>10</v>
      </c>
      <c r="X61" s="14" t="s">
        <v>46</v>
      </c>
      <c r="Y61" s="4"/>
      <c r="Z61" s="4"/>
      <c r="AA61" s="4"/>
      <c r="AB61" s="4"/>
      <c r="AC61" s="4"/>
      <c r="AD61" s="5"/>
      <c r="AE61" s="6"/>
      <c r="AF61" s="6"/>
      <c r="AG61" s="10" t="s">
        <v>138</v>
      </c>
      <c r="AH61" s="14" t="s">
        <v>205</v>
      </c>
      <c r="AI61" s="10" t="s">
        <v>87</v>
      </c>
      <c r="AJ61" s="16" t="s">
        <v>125</v>
      </c>
      <c r="AK61" s="16" t="s">
        <v>43</v>
      </c>
      <c r="AL61" s="16">
        <v>80847</v>
      </c>
      <c r="AM61" s="16">
        <v>0</v>
      </c>
      <c r="AN61" s="16">
        <v>0</v>
      </c>
      <c r="AO61" s="16">
        <v>0</v>
      </c>
      <c r="AP61" s="16">
        <v>80847</v>
      </c>
      <c r="AQ61" s="16">
        <v>161694</v>
      </c>
      <c r="AR61" s="17">
        <v>1</v>
      </c>
      <c r="AS61" s="17">
        <v>0</v>
      </c>
      <c r="AT61" s="17">
        <v>0</v>
      </c>
      <c r="AU61" s="17">
        <v>0</v>
      </c>
      <c r="AV61" s="18">
        <f t="shared" si="3"/>
        <v>2194</v>
      </c>
      <c r="AW61" s="18">
        <f t="shared" si="4"/>
        <v>0</v>
      </c>
      <c r="AX61" s="14">
        <v>0</v>
      </c>
      <c r="AY61" s="14">
        <v>0</v>
      </c>
      <c r="AZ61" s="18">
        <f>SUM(AV61,AW61,AX61)</f>
        <v>2194</v>
      </c>
      <c r="BA61" s="14">
        <v>4388</v>
      </c>
      <c r="BB61" s="14">
        <v>0</v>
      </c>
      <c r="BC61" s="14">
        <v>0</v>
      </c>
      <c r="BD61" s="14">
        <v>0</v>
      </c>
      <c r="BE61" s="14">
        <f>SUM(BA61,BB61,BC61)</f>
        <v>4388</v>
      </c>
      <c r="BF61" s="19">
        <f>[1]Analiza!$BG113*AR61</f>
        <v>0</v>
      </c>
      <c r="BG61" s="14">
        <f>[1]Analiza!$BG113*AS61</f>
        <v>0</v>
      </c>
      <c r="BH61" s="14">
        <f>[1]Analiza!$BG113*AT61</f>
        <v>0</v>
      </c>
      <c r="BI61" s="14">
        <f>[1]Analiza!$BG113*AU61</f>
        <v>0</v>
      </c>
      <c r="BJ61" s="50">
        <f t="shared" si="2"/>
        <v>0</v>
      </c>
      <c r="BK61" s="18">
        <f t="shared" si="5"/>
        <v>1462.6666666666667</v>
      </c>
      <c r="BL61" s="18">
        <f t="shared" si="6"/>
        <v>0</v>
      </c>
      <c r="BM61" s="18">
        <f t="shared" si="7"/>
        <v>1462.6666666666667</v>
      </c>
      <c r="BN61" s="51" t="s">
        <v>309</v>
      </c>
    </row>
    <row r="62" spans="1:66" x14ac:dyDescent="0.25">
      <c r="A62" s="7">
        <v>11</v>
      </c>
      <c r="B62" s="7">
        <v>1</v>
      </c>
      <c r="C62" s="11" t="s">
        <v>38</v>
      </c>
      <c r="D62" s="3" t="s">
        <v>72</v>
      </c>
      <c r="E62" s="3" t="s">
        <v>73</v>
      </c>
      <c r="F62" s="3" t="s">
        <v>74</v>
      </c>
      <c r="G62" s="3" t="s">
        <v>75</v>
      </c>
      <c r="H62" s="3" t="s">
        <v>76</v>
      </c>
      <c r="I62" s="3" t="s">
        <v>194</v>
      </c>
      <c r="J62" s="3" t="s">
        <v>172</v>
      </c>
      <c r="K62" s="14" t="s">
        <v>168</v>
      </c>
      <c r="L62" s="3" t="s">
        <v>56</v>
      </c>
      <c r="M62" s="3" t="s">
        <v>40</v>
      </c>
      <c r="N62" s="3" t="s">
        <v>39</v>
      </c>
      <c r="O62" s="3" t="s">
        <v>41</v>
      </c>
      <c r="P62" s="3" t="s">
        <v>45</v>
      </c>
      <c r="Q62" s="3" t="s">
        <v>77</v>
      </c>
      <c r="R62" s="3">
        <v>0</v>
      </c>
      <c r="S62" s="3">
        <v>0</v>
      </c>
      <c r="T62" s="3">
        <v>0</v>
      </c>
      <c r="U62" s="3">
        <v>0</v>
      </c>
      <c r="V62" s="15">
        <v>17.600000000000001</v>
      </c>
      <c r="W62" s="14">
        <v>25</v>
      </c>
      <c r="X62" s="14" t="s">
        <v>44</v>
      </c>
      <c r="Y62" s="4"/>
      <c r="Z62" s="4"/>
      <c r="AA62" s="4"/>
      <c r="AB62" s="4"/>
      <c r="AC62" s="4"/>
      <c r="AD62" s="5"/>
      <c r="AE62" s="6"/>
      <c r="AF62" s="6"/>
      <c r="AG62" s="10" t="s">
        <v>139</v>
      </c>
      <c r="AH62" s="14" t="s">
        <v>238</v>
      </c>
      <c r="AI62" s="10" t="s">
        <v>88</v>
      </c>
      <c r="AJ62" s="16" t="s">
        <v>125</v>
      </c>
      <c r="AK62" s="16" t="s">
        <v>43</v>
      </c>
      <c r="AL62" s="16">
        <v>11570</v>
      </c>
      <c r="AM62" s="16">
        <v>0</v>
      </c>
      <c r="AN62" s="16">
        <v>0</v>
      </c>
      <c r="AO62" s="16">
        <v>0</v>
      </c>
      <c r="AP62" s="16">
        <v>11570</v>
      </c>
      <c r="AQ62" s="16">
        <v>23140</v>
      </c>
      <c r="AR62" s="17">
        <v>1</v>
      </c>
      <c r="AS62" s="17">
        <v>0</v>
      </c>
      <c r="AT62" s="17">
        <v>0</v>
      </c>
      <c r="AU62" s="17">
        <v>0</v>
      </c>
      <c r="AV62" s="18">
        <f t="shared" si="3"/>
        <v>600</v>
      </c>
      <c r="AW62" s="18">
        <f t="shared" si="4"/>
        <v>0</v>
      </c>
      <c r="AX62" s="14">
        <v>0</v>
      </c>
      <c r="AY62" s="14">
        <v>0</v>
      </c>
      <c r="AZ62" s="18">
        <f t="shared" ref="AZ62:AZ104" si="8">SUM(AV62,AW62,AX62)</f>
        <v>600</v>
      </c>
      <c r="BA62" s="10">
        <v>1200</v>
      </c>
      <c r="BB62" s="14">
        <v>0</v>
      </c>
      <c r="BC62" s="14">
        <v>0</v>
      </c>
      <c r="BD62" s="14">
        <v>0</v>
      </c>
      <c r="BE62" s="14">
        <f t="shared" ref="BE62:BE104" si="9">SUM(BA62,BB62,BC62)</f>
        <v>1200</v>
      </c>
      <c r="BF62" s="19">
        <f>[1]Analiza!$BG114*AR62</f>
        <v>0</v>
      </c>
      <c r="BG62" s="14">
        <f>[1]Analiza!$BG114*AS62</f>
        <v>0</v>
      </c>
      <c r="BH62" s="14">
        <f>[1]Analiza!$BG114*AT62</f>
        <v>0</v>
      </c>
      <c r="BI62" s="14">
        <f>[1]Analiza!$BG114*AU62</f>
        <v>0</v>
      </c>
      <c r="BJ62" s="50">
        <f t="shared" si="2"/>
        <v>0</v>
      </c>
      <c r="BK62" s="18">
        <f t="shared" si="5"/>
        <v>400</v>
      </c>
      <c r="BL62" s="18">
        <f t="shared" si="6"/>
        <v>0</v>
      </c>
      <c r="BM62" s="18">
        <f t="shared" si="7"/>
        <v>400</v>
      </c>
      <c r="BN62" s="51" t="s">
        <v>309</v>
      </c>
    </row>
    <row r="63" spans="1:66" x14ac:dyDescent="0.25">
      <c r="A63" s="7">
        <v>12</v>
      </c>
      <c r="B63" s="7">
        <v>1</v>
      </c>
      <c r="C63" s="11" t="s">
        <v>38</v>
      </c>
      <c r="D63" s="3" t="s">
        <v>72</v>
      </c>
      <c r="E63" s="3" t="s">
        <v>73</v>
      </c>
      <c r="F63" s="3" t="s">
        <v>74</v>
      </c>
      <c r="G63" s="3" t="s">
        <v>75</v>
      </c>
      <c r="H63" s="3" t="s">
        <v>76</v>
      </c>
      <c r="I63" s="3" t="s">
        <v>279</v>
      </c>
      <c r="J63" s="3" t="s">
        <v>173</v>
      </c>
      <c r="K63" s="14" t="s">
        <v>128</v>
      </c>
      <c r="L63" s="3" t="s">
        <v>60</v>
      </c>
      <c r="M63" s="3" t="s">
        <v>40</v>
      </c>
      <c r="N63" s="3" t="s">
        <v>39</v>
      </c>
      <c r="O63" s="3" t="s">
        <v>41</v>
      </c>
      <c r="P63" s="3" t="s">
        <v>45</v>
      </c>
      <c r="Q63" s="3" t="s">
        <v>77</v>
      </c>
      <c r="R63" s="3">
        <v>0</v>
      </c>
      <c r="S63" s="3">
        <v>0</v>
      </c>
      <c r="T63" s="3">
        <v>0</v>
      </c>
      <c r="U63" s="3">
        <v>0</v>
      </c>
      <c r="V63" s="15">
        <v>2.2000000000000002</v>
      </c>
      <c r="W63" s="14">
        <v>10</v>
      </c>
      <c r="X63" s="14" t="s">
        <v>44</v>
      </c>
      <c r="Y63" s="4"/>
      <c r="Z63" s="4"/>
      <c r="AA63" s="4"/>
      <c r="AB63" s="4"/>
      <c r="AC63" s="4"/>
      <c r="AD63" s="5"/>
      <c r="AE63" s="6"/>
      <c r="AF63" s="6"/>
      <c r="AG63" s="10" t="s">
        <v>140</v>
      </c>
      <c r="AH63" s="14" t="s">
        <v>233</v>
      </c>
      <c r="AI63" s="10" t="s">
        <v>89</v>
      </c>
      <c r="AJ63" s="16" t="s">
        <v>125</v>
      </c>
      <c r="AK63" s="16" t="s">
        <v>43</v>
      </c>
      <c r="AL63" s="16">
        <v>47</v>
      </c>
      <c r="AM63" s="16">
        <v>0</v>
      </c>
      <c r="AN63" s="16">
        <v>0</v>
      </c>
      <c r="AO63" s="16">
        <v>0</v>
      </c>
      <c r="AP63" s="16">
        <v>47</v>
      </c>
      <c r="AQ63" s="16">
        <v>94</v>
      </c>
      <c r="AR63" s="17">
        <v>1</v>
      </c>
      <c r="AS63" s="17">
        <v>0</v>
      </c>
      <c r="AT63" s="17">
        <v>0</v>
      </c>
      <c r="AU63" s="17">
        <v>0</v>
      </c>
      <c r="AV63" s="18">
        <f t="shared" si="3"/>
        <v>1850</v>
      </c>
      <c r="AW63" s="18">
        <f t="shared" si="4"/>
        <v>0</v>
      </c>
      <c r="AX63" s="14">
        <v>0</v>
      </c>
      <c r="AY63" s="14">
        <v>0</v>
      </c>
      <c r="AZ63" s="18">
        <f t="shared" si="8"/>
        <v>1850</v>
      </c>
      <c r="BA63" s="14">
        <v>3700</v>
      </c>
      <c r="BB63" s="14">
        <v>0</v>
      </c>
      <c r="BC63" s="14">
        <v>0</v>
      </c>
      <c r="BD63" s="14">
        <v>0</v>
      </c>
      <c r="BE63" s="14">
        <f t="shared" si="9"/>
        <v>3700</v>
      </c>
      <c r="BF63" s="19">
        <f>[1]Analiza!$BG115*AR63</f>
        <v>0</v>
      </c>
      <c r="BG63" s="14">
        <f>[1]Analiza!$BG115*AS63</f>
        <v>0</v>
      </c>
      <c r="BH63" s="14">
        <f>[1]Analiza!$BG115*AT63</f>
        <v>0</v>
      </c>
      <c r="BI63" s="14">
        <f>[1]Analiza!$BG115*AU63</f>
        <v>0</v>
      </c>
      <c r="BJ63" s="50">
        <f t="shared" si="2"/>
        <v>0</v>
      </c>
      <c r="BK63" s="18">
        <f t="shared" si="5"/>
        <v>1233.3333333333333</v>
      </c>
      <c r="BL63" s="18">
        <f t="shared" si="6"/>
        <v>0</v>
      </c>
      <c r="BM63" s="18">
        <f t="shared" si="7"/>
        <v>1233.3333333333333</v>
      </c>
      <c r="BN63" s="51" t="s">
        <v>309</v>
      </c>
    </row>
    <row r="64" spans="1:66" x14ac:dyDescent="0.25">
      <c r="A64" s="7">
        <v>13</v>
      </c>
      <c r="B64" s="7">
        <v>1</v>
      </c>
      <c r="C64" s="11" t="s">
        <v>38</v>
      </c>
      <c r="D64" s="3" t="s">
        <v>72</v>
      </c>
      <c r="E64" s="3" t="s">
        <v>73</v>
      </c>
      <c r="F64" s="3" t="s">
        <v>74</v>
      </c>
      <c r="G64" s="3" t="s">
        <v>75</v>
      </c>
      <c r="H64" s="3" t="s">
        <v>76</v>
      </c>
      <c r="I64" s="3" t="s">
        <v>280</v>
      </c>
      <c r="J64" s="3" t="s">
        <v>174</v>
      </c>
      <c r="K64" s="14" t="s">
        <v>171</v>
      </c>
      <c r="L64" s="3" t="s">
        <v>55</v>
      </c>
      <c r="M64" s="3" t="s">
        <v>40</v>
      </c>
      <c r="N64" s="3" t="s">
        <v>39</v>
      </c>
      <c r="O64" s="3" t="s">
        <v>41</v>
      </c>
      <c r="P64" s="3" t="s">
        <v>45</v>
      </c>
      <c r="Q64" s="3" t="s">
        <v>77</v>
      </c>
      <c r="R64" s="3">
        <v>0</v>
      </c>
      <c r="S64" s="3">
        <v>0</v>
      </c>
      <c r="T64" s="3">
        <v>0</v>
      </c>
      <c r="U64" s="3">
        <v>0</v>
      </c>
      <c r="V64" s="15">
        <v>10</v>
      </c>
      <c r="W64" s="14">
        <v>25</v>
      </c>
      <c r="X64" s="14" t="s">
        <v>44</v>
      </c>
      <c r="Y64" s="4"/>
      <c r="Z64" s="4"/>
      <c r="AA64" s="4"/>
      <c r="AB64" s="4"/>
      <c r="AC64" s="4"/>
      <c r="AD64" s="5"/>
      <c r="AE64" s="6"/>
      <c r="AF64" s="6"/>
      <c r="AG64" s="10" t="s">
        <v>141</v>
      </c>
      <c r="AH64" s="10" t="s">
        <v>210</v>
      </c>
      <c r="AI64" s="10" t="s">
        <v>90</v>
      </c>
      <c r="AJ64" s="16" t="s">
        <v>125</v>
      </c>
      <c r="AK64" s="16" t="s">
        <v>43</v>
      </c>
      <c r="AL64" s="16">
        <v>44</v>
      </c>
      <c r="AM64" s="16">
        <v>0</v>
      </c>
      <c r="AN64" s="16">
        <v>0</v>
      </c>
      <c r="AO64" s="16">
        <v>0</v>
      </c>
      <c r="AP64" s="16">
        <v>44</v>
      </c>
      <c r="AQ64" s="16">
        <v>88</v>
      </c>
      <c r="AR64" s="17">
        <v>1</v>
      </c>
      <c r="AS64" s="17">
        <v>0</v>
      </c>
      <c r="AT64" s="17">
        <v>0</v>
      </c>
      <c r="AU64" s="17">
        <v>0</v>
      </c>
      <c r="AV64" s="18">
        <f t="shared" si="3"/>
        <v>21796.5</v>
      </c>
      <c r="AW64" s="18">
        <f t="shared" si="4"/>
        <v>0</v>
      </c>
      <c r="AX64" s="14">
        <v>0</v>
      </c>
      <c r="AY64" s="14">
        <v>0</v>
      </c>
      <c r="AZ64" s="18">
        <f t="shared" si="8"/>
        <v>21796.5</v>
      </c>
      <c r="BA64" s="14">
        <v>43593</v>
      </c>
      <c r="BB64" s="14">
        <v>0</v>
      </c>
      <c r="BC64" s="14">
        <v>0</v>
      </c>
      <c r="BD64" s="14">
        <v>0</v>
      </c>
      <c r="BE64" s="14">
        <f t="shared" si="9"/>
        <v>43593</v>
      </c>
      <c r="BF64" s="19">
        <f>[1]Analiza!$BG116*AR64</f>
        <v>0</v>
      </c>
      <c r="BG64" s="14">
        <f>[1]Analiza!$BG116*AS64</f>
        <v>0</v>
      </c>
      <c r="BH64" s="14">
        <f>[1]Analiza!$BG116*AT64</f>
        <v>0</v>
      </c>
      <c r="BI64" s="14">
        <f>[1]Analiza!$BG116*AU64</f>
        <v>0</v>
      </c>
      <c r="BJ64" s="50">
        <f t="shared" si="2"/>
        <v>0</v>
      </c>
      <c r="BK64" s="18">
        <f t="shared" si="5"/>
        <v>14531</v>
      </c>
      <c r="BL64" s="18">
        <f t="shared" si="6"/>
        <v>0</v>
      </c>
      <c r="BM64" s="18">
        <f t="shared" si="7"/>
        <v>14531</v>
      </c>
      <c r="BN64" s="51" t="s">
        <v>309</v>
      </c>
    </row>
    <row r="65" spans="1:66" x14ac:dyDescent="0.25">
      <c r="A65" s="7">
        <v>14</v>
      </c>
      <c r="B65" s="7">
        <v>1</v>
      </c>
      <c r="C65" s="11" t="s">
        <v>38</v>
      </c>
      <c r="D65" s="3" t="s">
        <v>72</v>
      </c>
      <c r="E65" s="3" t="s">
        <v>73</v>
      </c>
      <c r="F65" s="3" t="s">
        <v>74</v>
      </c>
      <c r="G65" s="3" t="s">
        <v>75</v>
      </c>
      <c r="H65" s="3" t="s">
        <v>76</v>
      </c>
      <c r="I65" s="3" t="s">
        <v>70</v>
      </c>
      <c r="J65" s="3" t="s">
        <v>175</v>
      </c>
      <c r="K65" s="14" t="s">
        <v>170</v>
      </c>
      <c r="L65" s="3" t="s">
        <v>176</v>
      </c>
      <c r="M65" s="3" t="s">
        <v>40</v>
      </c>
      <c r="N65" s="3" t="s">
        <v>39</v>
      </c>
      <c r="O65" s="3" t="s">
        <v>41</v>
      </c>
      <c r="P65" s="3" t="s">
        <v>45</v>
      </c>
      <c r="Q65" s="3" t="s">
        <v>77</v>
      </c>
      <c r="R65" s="3">
        <v>0</v>
      </c>
      <c r="S65" s="3">
        <v>0</v>
      </c>
      <c r="T65" s="3">
        <v>0</v>
      </c>
      <c r="U65" s="3">
        <v>0</v>
      </c>
      <c r="V65" s="15">
        <v>6.4</v>
      </c>
      <c r="W65" s="14">
        <v>10</v>
      </c>
      <c r="X65" s="14" t="s">
        <v>44</v>
      </c>
      <c r="Y65" s="4"/>
      <c r="Z65" s="4"/>
      <c r="AA65" s="4"/>
      <c r="AB65" s="4"/>
      <c r="AC65" s="4"/>
      <c r="AD65" s="5"/>
      <c r="AE65" s="6"/>
      <c r="AF65" s="6"/>
      <c r="AG65" s="10" t="s">
        <v>142</v>
      </c>
      <c r="AH65" s="14" t="s">
        <v>249</v>
      </c>
      <c r="AI65" s="10" t="s">
        <v>91</v>
      </c>
      <c r="AJ65" s="16" t="s">
        <v>125</v>
      </c>
      <c r="AK65" s="16" t="s">
        <v>43</v>
      </c>
      <c r="AL65" s="16">
        <v>14344</v>
      </c>
      <c r="AM65" s="16">
        <v>0</v>
      </c>
      <c r="AN65" s="16">
        <v>0</v>
      </c>
      <c r="AO65" s="16">
        <v>0</v>
      </c>
      <c r="AP65" s="16">
        <v>14344</v>
      </c>
      <c r="AQ65" s="16">
        <v>28688</v>
      </c>
      <c r="AR65" s="17">
        <v>1</v>
      </c>
      <c r="AS65" s="17">
        <v>0</v>
      </c>
      <c r="AT65" s="17">
        <v>0</v>
      </c>
      <c r="AU65" s="17">
        <v>0</v>
      </c>
      <c r="AV65" s="18">
        <f t="shared" si="3"/>
        <v>1659.5</v>
      </c>
      <c r="AW65" s="18">
        <f t="shared" si="4"/>
        <v>0</v>
      </c>
      <c r="AX65" s="14">
        <v>0</v>
      </c>
      <c r="AY65" s="14">
        <v>0</v>
      </c>
      <c r="AZ65" s="18">
        <f t="shared" si="8"/>
        <v>1659.5</v>
      </c>
      <c r="BA65" s="10">
        <v>3319</v>
      </c>
      <c r="BB65" s="14">
        <v>0</v>
      </c>
      <c r="BC65" s="14">
        <v>0</v>
      </c>
      <c r="BD65" s="14">
        <v>0</v>
      </c>
      <c r="BE65" s="14">
        <f t="shared" si="9"/>
        <v>3319</v>
      </c>
      <c r="BF65" s="19">
        <f>[1]Analiza!$BG117*AR65</f>
        <v>0</v>
      </c>
      <c r="BG65" s="14">
        <f>[1]Analiza!$BG117*AS65</f>
        <v>0</v>
      </c>
      <c r="BH65" s="14">
        <f>[1]Analiza!$BG117*AT65</f>
        <v>0</v>
      </c>
      <c r="BI65" s="14">
        <f>[1]Analiza!$BG117*AU65</f>
        <v>0</v>
      </c>
      <c r="BJ65" s="50">
        <f t="shared" si="2"/>
        <v>0</v>
      </c>
      <c r="BK65" s="18">
        <f t="shared" si="5"/>
        <v>1106.3333333333333</v>
      </c>
      <c r="BL65" s="18">
        <f t="shared" si="6"/>
        <v>0</v>
      </c>
      <c r="BM65" s="18">
        <f t="shared" si="7"/>
        <v>1106.3333333333333</v>
      </c>
      <c r="BN65" s="51" t="s">
        <v>309</v>
      </c>
    </row>
    <row r="66" spans="1:66" x14ac:dyDescent="0.25">
      <c r="A66" s="7">
        <v>15</v>
      </c>
      <c r="B66" s="7">
        <v>1</v>
      </c>
      <c r="C66" s="11" t="s">
        <v>38</v>
      </c>
      <c r="D66" s="3" t="s">
        <v>72</v>
      </c>
      <c r="E66" s="3" t="s">
        <v>73</v>
      </c>
      <c r="F66" s="3" t="s">
        <v>74</v>
      </c>
      <c r="G66" s="3" t="s">
        <v>75</v>
      </c>
      <c r="H66" s="3" t="s">
        <v>76</v>
      </c>
      <c r="I66" s="3" t="s">
        <v>56</v>
      </c>
      <c r="J66" s="3" t="s">
        <v>177</v>
      </c>
      <c r="K66" s="14" t="s">
        <v>147</v>
      </c>
      <c r="L66" s="3"/>
      <c r="M66" s="3" t="s">
        <v>40</v>
      </c>
      <c r="N66" s="3" t="s">
        <v>39</v>
      </c>
      <c r="O66" s="3" t="s">
        <v>41</v>
      </c>
      <c r="P66" s="3" t="s">
        <v>45</v>
      </c>
      <c r="Q66" s="3" t="s">
        <v>77</v>
      </c>
      <c r="R66" s="3">
        <v>0</v>
      </c>
      <c r="S66" s="3">
        <v>0</v>
      </c>
      <c r="T66" s="3">
        <v>0</v>
      </c>
      <c r="U66" s="3">
        <v>0</v>
      </c>
      <c r="V66" s="15">
        <v>1.3</v>
      </c>
      <c r="W66" s="14">
        <v>6</v>
      </c>
      <c r="X66" s="14" t="s">
        <v>44</v>
      </c>
      <c r="Y66" s="4"/>
      <c r="Z66" s="4"/>
      <c r="AA66" s="4"/>
      <c r="AB66" s="4"/>
      <c r="AC66" s="4"/>
      <c r="AD66" s="5"/>
      <c r="AE66" s="6"/>
      <c r="AF66" s="6"/>
      <c r="AG66" s="10" t="s">
        <v>143</v>
      </c>
      <c r="AH66" s="14" t="s">
        <v>242</v>
      </c>
      <c r="AI66" s="10" t="s">
        <v>92</v>
      </c>
      <c r="AJ66" s="16" t="s">
        <v>125</v>
      </c>
      <c r="AK66" s="16" t="s">
        <v>43</v>
      </c>
      <c r="AL66" s="16">
        <v>5929</v>
      </c>
      <c r="AM66" s="16">
        <v>0</v>
      </c>
      <c r="AN66" s="16">
        <v>0</v>
      </c>
      <c r="AO66" s="16">
        <v>0</v>
      </c>
      <c r="AP66" s="16">
        <v>5929</v>
      </c>
      <c r="AQ66" s="16">
        <v>11858</v>
      </c>
      <c r="AR66" s="17">
        <v>1</v>
      </c>
      <c r="AS66" s="17">
        <v>0</v>
      </c>
      <c r="AT66" s="17">
        <v>0</v>
      </c>
      <c r="AU66" s="17">
        <v>0</v>
      </c>
      <c r="AV66" s="18">
        <f t="shared" si="3"/>
        <v>62</v>
      </c>
      <c r="AW66" s="18">
        <f t="shared" si="4"/>
        <v>0</v>
      </c>
      <c r="AX66" s="14">
        <v>0</v>
      </c>
      <c r="AY66" s="14">
        <v>0</v>
      </c>
      <c r="AZ66" s="18">
        <f t="shared" si="8"/>
        <v>62</v>
      </c>
      <c r="BA66" s="14">
        <v>124</v>
      </c>
      <c r="BB66" s="14">
        <v>0</v>
      </c>
      <c r="BC66" s="14">
        <v>0</v>
      </c>
      <c r="BD66" s="14">
        <v>0</v>
      </c>
      <c r="BE66" s="14">
        <f t="shared" si="9"/>
        <v>124</v>
      </c>
      <c r="BF66" s="19">
        <f>[1]Analiza!$BG118*AR66</f>
        <v>0</v>
      </c>
      <c r="BG66" s="14">
        <f>[1]Analiza!$BG118*AS66</f>
        <v>0</v>
      </c>
      <c r="BH66" s="14">
        <f>[1]Analiza!$BG118*AT66</f>
        <v>0</v>
      </c>
      <c r="BI66" s="14">
        <f>[1]Analiza!$BG118*AU66</f>
        <v>0</v>
      </c>
      <c r="BJ66" s="50">
        <f t="shared" si="2"/>
        <v>0</v>
      </c>
      <c r="BK66" s="18">
        <f t="shared" si="5"/>
        <v>41.333333333333336</v>
      </c>
      <c r="BL66" s="18">
        <f t="shared" si="6"/>
        <v>0</v>
      </c>
      <c r="BM66" s="18">
        <f t="shared" si="7"/>
        <v>41.333333333333336</v>
      </c>
      <c r="BN66" s="51" t="s">
        <v>309</v>
      </c>
    </row>
    <row r="67" spans="1:66" x14ac:dyDescent="0.25">
      <c r="A67" s="7">
        <v>16</v>
      </c>
      <c r="B67" s="7">
        <v>1</v>
      </c>
      <c r="C67" s="11" t="s">
        <v>38</v>
      </c>
      <c r="D67" s="3" t="s">
        <v>72</v>
      </c>
      <c r="E67" s="3" t="s">
        <v>73</v>
      </c>
      <c r="F67" s="3" t="s">
        <v>74</v>
      </c>
      <c r="G67" s="3" t="s">
        <v>75</v>
      </c>
      <c r="H67" s="3" t="s">
        <v>76</v>
      </c>
      <c r="I67" s="3" t="s">
        <v>281</v>
      </c>
      <c r="J67" s="3" t="s">
        <v>184</v>
      </c>
      <c r="K67" s="14" t="s">
        <v>182</v>
      </c>
      <c r="L67" s="3" t="s">
        <v>183</v>
      </c>
      <c r="M67" s="3" t="s">
        <v>40</v>
      </c>
      <c r="N67" s="3" t="s">
        <v>39</v>
      </c>
      <c r="O67" s="3" t="s">
        <v>41</v>
      </c>
      <c r="P67" s="3" t="s">
        <v>45</v>
      </c>
      <c r="Q67" s="3" t="s">
        <v>77</v>
      </c>
      <c r="R67" s="3">
        <v>0</v>
      </c>
      <c r="S67" s="3">
        <v>0</v>
      </c>
      <c r="T67" s="3">
        <v>0</v>
      </c>
      <c r="U67" s="3">
        <v>0</v>
      </c>
      <c r="V67" s="15">
        <v>4.3</v>
      </c>
      <c r="W67" s="14">
        <v>20</v>
      </c>
      <c r="X67" s="14" t="s">
        <v>44</v>
      </c>
      <c r="Y67" s="4"/>
      <c r="Z67" s="4"/>
      <c r="AA67" s="4"/>
      <c r="AB67" s="4"/>
      <c r="AC67" s="4"/>
      <c r="AD67" s="5"/>
      <c r="AE67" s="6"/>
      <c r="AF67" s="6"/>
      <c r="AG67" s="14">
        <v>18473787</v>
      </c>
      <c r="AH67" s="14" t="s">
        <v>243</v>
      </c>
      <c r="AI67" s="10" t="s">
        <v>93</v>
      </c>
      <c r="AJ67" s="16" t="s">
        <v>125</v>
      </c>
      <c r="AK67" s="16" t="s">
        <v>43</v>
      </c>
      <c r="AL67" s="16">
        <v>4500</v>
      </c>
      <c r="AM67" s="16">
        <v>0</v>
      </c>
      <c r="AN67" s="16">
        <v>0</v>
      </c>
      <c r="AO67" s="16">
        <v>0</v>
      </c>
      <c r="AP67" s="16">
        <v>4500</v>
      </c>
      <c r="AQ67" s="16">
        <v>9000</v>
      </c>
      <c r="AR67" s="17">
        <v>1</v>
      </c>
      <c r="AS67" s="17">
        <v>0</v>
      </c>
      <c r="AT67" s="17">
        <v>0</v>
      </c>
      <c r="AU67" s="17">
        <v>0</v>
      </c>
      <c r="AV67" s="18">
        <f t="shared" si="3"/>
        <v>402</v>
      </c>
      <c r="AW67" s="18">
        <f t="shared" si="4"/>
        <v>0</v>
      </c>
      <c r="AX67" s="14">
        <v>0</v>
      </c>
      <c r="AY67" s="14">
        <v>0</v>
      </c>
      <c r="AZ67" s="18">
        <f t="shared" si="8"/>
        <v>402</v>
      </c>
      <c r="BA67" s="10">
        <v>804</v>
      </c>
      <c r="BB67" s="14">
        <v>0</v>
      </c>
      <c r="BC67" s="14">
        <v>0</v>
      </c>
      <c r="BD67" s="14">
        <v>0</v>
      </c>
      <c r="BE67" s="14">
        <f t="shared" si="9"/>
        <v>804</v>
      </c>
      <c r="BF67" s="19">
        <f>[1]Analiza!$BG119*AR67</f>
        <v>0</v>
      </c>
      <c r="BG67" s="14">
        <f>[1]Analiza!$BG119*AS67</f>
        <v>0</v>
      </c>
      <c r="BH67" s="14">
        <f>[1]Analiza!$BG119*AT67</f>
        <v>0</v>
      </c>
      <c r="BI67" s="14">
        <f>[1]Analiza!$BG119*AU67</f>
        <v>0</v>
      </c>
      <c r="BJ67" s="50">
        <f t="shared" si="2"/>
        <v>0</v>
      </c>
      <c r="BK67" s="18">
        <f t="shared" si="5"/>
        <v>268</v>
      </c>
      <c r="BL67" s="18">
        <f t="shared" si="6"/>
        <v>0</v>
      </c>
      <c r="BM67" s="18">
        <f t="shared" si="7"/>
        <v>268</v>
      </c>
      <c r="BN67" s="51" t="s">
        <v>309</v>
      </c>
    </row>
    <row r="68" spans="1:66" x14ac:dyDescent="0.25">
      <c r="A68" s="7">
        <v>17</v>
      </c>
      <c r="B68" s="7">
        <v>1</v>
      </c>
      <c r="C68" s="11" t="s">
        <v>38</v>
      </c>
      <c r="D68" s="3" t="s">
        <v>72</v>
      </c>
      <c r="E68" s="3" t="s">
        <v>73</v>
      </c>
      <c r="F68" s="3" t="s">
        <v>74</v>
      </c>
      <c r="G68" s="3" t="s">
        <v>75</v>
      </c>
      <c r="H68" s="3" t="s">
        <v>76</v>
      </c>
      <c r="I68" s="3" t="s">
        <v>55</v>
      </c>
      <c r="J68" s="3" t="s">
        <v>179</v>
      </c>
      <c r="K68" s="14" t="s">
        <v>148</v>
      </c>
      <c r="L68" s="3"/>
      <c r="M68" s="3" t="s">
        <v>40</v>
      </c>
      <c r="N68" s="3" t="s">
        <v>39</v>
      </c>
      <c r="O68" s="3" t="s">
        <v>41</v>
      </c>
      <c r="P68" s="3" t="s">
        <v>45</v>
      </c>
      <c r="Q68" s="3" t="s">
        <v>77</v>
      </c>
      <c r="R68" s="3">
        <v>0</v>
      </c>
      <c r="S68" s="3">
        <v>0</v>
      </c>
      <c r="T68" s="3">
        <v>0</v>
      </c>
      <c r="U68" s="3">
        <v>0</v>
      </c>
      <c r="V68" s="15">
        <v>12.9</v>
      </c>
      <c r="W68" s="14">
        <v>20</v>
      </c>
      <c r="X68" s="14" t="s">
        <v>44</v>
      </c>
      <c r="Y68" s="4"/>
      <c r="Z68" s="4"/>
      <c r="AA68" s="4"/>
      <c r="AB68" s="4"/>
      <c r="AC68" s="4"/>
      <c r="AD68" s="5"/>
      <c r="AE68" s="6"/>
      <c r="AF68" s="6"/>
      <c r="AG68" s="14">
        <v>38605462</v>
      </c>
      <c r="AH68" s="14" t="s">
        <v>245</v>
      </c>
      <c r="AI68" s="10" t="s">
        <v>94</v>
      </c>
      <c r="AJ68" s="16" t="s">
        <v>125</v>
      </c>
      <c r="AK68" s="16" t="s">
        <v>43</v>
      </c>
      <c r="AL68" s="16">
        <v>1172</v>
      </c>
      <c r="AM68" s="16">
        <v>0</v>
      </c>
      <c r="AN68" s="16">
        <v>0</v>
      </c>
      <c r="AO68" s="16">
        <v>0</v>
      </c>
      <c r="AP68" s="16">
        <v>1172</v>
      </c>
      <c r="AQ68" s="16">
        <v>2344</v>
      </c>
      <c r="AR68" s="17">
        <v>1</v>
      </c>
      <c r="AS68" s="17">
        <v>0</v>
      </c>
      <c r="AT68" s="17">
        <v>0</v>
      </c>
      <c r="AU68" s="17">
        <v>0</v>
      </c>
      <c r="AV68" s="18">
        <f t="shared" si="3"/>
        <v>8100</v>
      </c>
      <c r="AW68" s="18">
        <f t="shared" si="4"/>
        <v>0</v>
      </c>
      <c r="AX68" s="14">
        <v>0</v>
      </c>
      <c r="AY68" s="14">
        <v>0</v>
      </c>
      <c r="AZ68" s="18">
        <f t="shared" si="8"/>
        <v>8100</v>
      </c>
      <c r="BA68" s="10">
        <v>16200</v>
      </c>
      <c r="BB68" s="14">
        <v>0</v>
      </c>
      <c r="BC68" s="14">
        <v>0</v>
      </c>
      <c r="BD68" s="14">
        <v>0</v>
      </c>
      <c r="BE68" s="14">
        <f t="shared" si="9"/>
        <v>16200</v>
      </c>
      <c r="BF68" s="19">
        <f>[1]Analiza!$BG120*AR68</f>
        <v>0</v>
      </c>
      <c r="BG68" s="14">
        <f>[1]Analiza!$BG120*AS68</f>
        <v>0</v>
      </c>
      <c r="BH68" s="14">
        <f>[1]Analiza!$BG120*AT68</f>
        <v>0</v>
      </c>
      <c r="BI68" s="14">
        <f>[1]Analiza!$BG120*AU68</f>
        <v>0</v>
      </c>
      <c r="BJ68" s="50">
        <f t="shared" si="2"/>
        <v>0</v>
      </c>
      <c r="BK68" s="18">
        <f t="shared" si="5"/>
        <v>5400</v>
      </c>
      <c r="BL68" s="18">
        <f t="shared" si="6"/>
        <v>0</v>
      </c>
      <c r="BM68" s="18">
        <f t="shared" si="7"/>
        <v>5400</v>
      </c>
      <c r="BN68" s="51" t="s">
        <v>309</v>
      </c>
    </row>
    <row r="69" spans="1:66" x14ac:dyDescent="0.25">
      <c r="A69" s="7">
        <v>18</v>
      </c>
      <c r="B69" s="7">
        <v>1</v>
      </c>
      <c r="C69" s="11" t="s">
        <v>38</v>
      </c>
      <c r="D69" s="3" t="s">
        <v>72</v>
      </c>
      <c r="E69" s="3" t="s">
        <v>73</v>
      </c>
      <c r="F69" s="3" t="s">
        <v>74</v>
      </c>
      <c r="G69" s="3" t="s">
        <v>75</v>
      </c>
      <c r="H69" s="3" t="s">
        <v>76</v>
      </c>
      <c r="I69" s="3" t="s">
        <v>282</v>
      </c>
      <c r="J69" s="3" t="s">
        <v>184</v>
      </c>
      <c r="K69" s="14" t="s">
        <v>169</v>
      </c>
      <c r="L69" s="3" t="s">
        <v>62</v>
      </c>
      <c r="M69" s="3" t="s">
        <v>40</v>
      </c>
      <c r="N69" s="3" t="s">
        <v>39</v>
      </c>
      <c r="O69" s="3" t="s">
        <v>41</v>
      </c>
      <c r="P69" s="3" t="s">
        <v>45</v>
      </c>
      <c r="Q69" s="3" t="s">
        <v>77</v>
      </c>
      <c r="R69" s="3">
        <v>0</v>
      </c>
      <c r="S69" s="3">
        <v>0</v>
      </c>
      <c r="T69" s="3">
        <v>0</v>
      </c>
      <c r="U69" s="3">
        <v>0</v>
      </c>
      <c r="V69" s="15">
        <v>5</v>
      </c>
      <c r="W69" s="14">
        <v>25</v>
      </c>
      <c r="X69" s="14" t="s">
        <v>44</v>
      </c>
      <c r="Y69" s="4"/>
      <c r="Z69" s="4"/>
      <c r="AA69" s="4"/>
      <c r="AB69" s="4"/>
      <c r="AC69" s="4"/>
      <c r="AD69" s="5"/>
      <c r="AE69" s="6"/>
      <c r="AF69" s="6"/>
      <c r="AG69" s="14">
        <v>47708817</v>
      </c>
      <c r="AH69" s="14" t="s">
        <v>164</v>
      </c>
      <c r="AI69" s="10" t="s">
        <v>95</v>
      </c>
      <c r="AJ69" s="16" t="s">
        <v>125</v>
      </c>
      <c r="AK69" s="16" t="s">
        <v>43</v>
      </c>
      <c r="AL69" s="16">
        <v>199</v>
      </c>
      <c r="AM69" s="16">
        <v>0</v>
      </c>
      <c r="AN69" s="16">
        <v>0</v>
      </c>
      <c r="AO69" s="16">
        <v>0</v>
      </c>
      <c r="AP69" s="16">
        <v>199</v>
      </c>
      <c r="AQ69" s="16">
        <v>398</v>
      </c>
      <c r="AR69" s="17">
        <v>1</v>
      </c>
      <c r="AS69" s="17">
        <v>0</v>
      </c>
      <c r="AT69" s="17">
        <v>0</v>
      </c>
      <c r="AU69" s="17">
        <v>0</v>
      </c>
      <c r="AV69" s="18">
        <f t="shared" si="3"/>
        <v>92</v>
      </c>
      <c r="AW69" s="18">
        <f t="shared" si="4"/>
        <v>0</v>
      </c>
      <c r="AX69" s="14">
        <v>0</v>
      </c>
      <c r="AY69" s="14">
        <v>0</v>
      </c>
      <c r="AZ69" s="18">
        <f t="shared" si="8"/>
        <v>92</v>
      </c>
      <c r="BA69" s="14">
        <v>184</v>
      </c>
      <c r="BB69" s="14">
        <v>0</v>
      </c>
      <c r="BC69" s="14">
        <v>0</v>
      </c>
      <c r="BD69" s="14">
        <v>0</v>
      </c>
      <c r="BE69" s="14">
        <f t="shared" si="9"/>
        <v>184</v>
      </c>
      <c r="BF69" s="19">
        <f>[1]Analiza!$BG122*AR69</f>
        <v>0</v>
      </c>
      <c r="BG69" s="14">
        <f>[1]Analiza!$BG122*AS69</f>
        <v>0</v>
      </c>
      <c r="BH69" s="14">
        <f>[1]Analiza!$BG122*AT69</f>
        <v>0</v>
      </c>
      <c r="BI69" s="14">
        <f>[1]Analiza!$BG122*AU69</f>
        <v>0</v>
      </c>
      <c r="BJ69" s="50">
        <f t="shared" si="2"/>
        <v>0</v>
      </c>
      <c r="BK69" s="18">
        <f t="shared" si="5"/>
        <v>61.333333333333336</v>
      </c>
      <c r="BL69" s="18">
        <f t="shared" si="6"/>
        <v>0</v>
      </c>
      <c r="BM69" s="18">
        <f t="shared" si="7"/>
        <v>61.333333333333336</v>
      </c>
      <c r="BN69" s="51" t="s">
        <v>309</v>
      </c>
    </row>
    <row r="70" spans="1:66" x14ac:dyDescent="0.25">
      <c r="A70" s="7">
        <v>19</v>
      </c>
      <c r="B70" s="7">
        <v>1</v>
      </c>
      <c r="C70" s="11" t="s">
        <v>38</v>
      </c>
      <c r="D70" s="3" t="s">
        <v>72</v>
      </c>
      <c r="E70" s="3" t="s">
        <v>73</v>
      </c>
      <c r="F70" s="3" t="s">
        <v>74</v>
      </c>
      <c r="G70" s="3" t="s">
        <v>75</v>
      </c>
      <c r="H70" s="3" t="s">
        <v>76</v>
      </c>
      <c r="I70" s="3" t="s">
        <v>261</v>
      </c>
      <c r="J70" s="3" t="s">
        <v>185</v>
      </c>
      <c r="K70" s="14" t="s">
        <v>169</v>
      </c>
      <c r="L70" s="3" t="s">
        <v>68</v>
      </c>
      <c r="M70" s="3" t="s">
        <v>40</v>
      </c>
      <c r="N70" s="3" t="s">
        <v>39</v>
      </c>
      <c r="O70" s="3" t="s">
        <v>41</v>
      </c>
      <c r="P70" s="3" t="s">
        <v>45</v>
      </c>
      <c r="Q70" s="3" t="s">
        <v>77</v>
      </c>
      <c r="R70" s="3">
        <v>0</v>
      </c>
      <c r="S70" s="3">
        <v>0</v>
      </c>
      <c r="T70" s="3">
        <v>0</v>
      </c>
      <c r="U70" s="3">
        <v>0</v>
      </c>
      <c r="V70" s="15">
        <v>16.100000000000001</v>
      </c>
      <c r="W70" s="14">
        <v>25</v>
      </c>
      <c r="X70" s="14" t="s">
        <v>44</v>
      </c>
      <c r="Y70" s="4"/>
      <c r="Z70" s="4"/>
      <c r="AA70" s="4"/>
      <c r="AB70" s="4"/>
      <c r="AC70" s="4"/>
      <c r="AD70" s="5"/>
      <c r="AE70" s="6"/>
      <c r="AF70" s="6"/>
      <c r="AG70" s="14">
        <v>70739454</v>
      </c>
      <c r="AH70" s="14" t="s">
        <v>165</v>
      </c>
      <c r="AI70" s="10" t="s">
        <v>208</v>
      </c>
      <c r="AJ70" s="16" t="s">
        <v>125</v>
      </c>
      <c r="AK70" s="16" t="s">
        <v>43</v>
      </c>
      <c r="AL70" s="16">
        <v>100</v>
      </c>
      <c r="AM70" s="16">
        <v>0</v>
      </c>
      <c r="AN70" s="16">
        <v>0</v>
      </c>
      <c r="AO70" s="16">
        <v>0</v>
      </c>
      <c r="AP70" s="16">
        <v>100</v>
      </c>
      <c r="AQ70" s="16">
        <v>200</v>
      </c>
      <c r="AR70" s="17">
        <v>1</v>
      </c>
      <c r="AS70" s="17">
        <v>0</v>
      </c>
      <c r="AT70" s="17">
        <v>0</v>
      </c>
      <c r="AU70" s="17">
        <v>0</v>
      </c>
      <c r="AV70" s="18">
        <f t="shared" si="3"/>
        <v>2280</v>
      </c>
      <c r="AW70" s="18">
        <f t="shared" si="4"/>
        <v>0</v>
      </c>
      <c r="AX70" s="14">
        <v>0</v>
      </c>
      <c r="AY70" s="14">
        <v>0</v>
      </c>
      <c r="AZ70" s="18">
        <f t="shared" si="8"/>
        <v>2280</v>
      </c>
      <c r="BA70" s="14">
        <v>4560</v>
      </c>
      <c r="BB70" s="14">
        <v>0</v>
      </c>
      <c r="BC70" s="14">
        <v>0</v>
      </c>
      <c r="BD70" s="14">
        <v>0</v>
      </c>
      <c r="BE70" s="14">
        <f t="shared" si="9"/>
        <v>4560</v>
      </c>
      <c r="BF70" s="19">
        <f>[1]Analiza!$BG123*AR70</f>
        <v>0</v>
      </c>
      <c r="BG70" s="14">
        <f>[1]Analiza!$BG123*AS70</f>
        <v>0</v>
      </c>
      <c r="BH70" s="14">
        <f>[1]Analiza!$BG123*AT70</f>
        <v>0</v>
      </c>
      <c r="BI70" s="14">
        <f>[1]Analiza!$BG123*AU70</f>
        <v>0</v>
      </c>
      <c r="BJ70" s="50">
        <f t="shared" si="2"/>
        <v>0</v>
      </c>
      <c r="BK70" s="18">
        <f t="shared" si="5"/>
        <v>1520</v>
      </c>
      <c r="BL70" s="18">
        <f t="shared" si="6"/>
        <v>0</v>
      </c>
      <c r="BM70" s="18">
        <f t="shared" si="7"/>
        <v>1520</v>
      </c>
      <c r="BN70" s="51" t="s">
        <v>309</v>
      </c>
    </row>
    <row r="71" spans="1:66" ht="30" x14ac:dyDescent="0.25">
      <c r="A71" s="7">
        <v>20</v>
      </c>
      <c r="B71" s="7">
        <v>1</v>
      </c>
      <c r="C71" s="11" t="s">
        <v>38</v>
      </c>
      <c r="D71" s="3" t="s">
        <v>72</v>
      </c>
      <c r="E71" s="3" t="s">
        <v>73</v>
      </c>
      <c r="F71" s="3" t="s">
        <v>74</v>
      </c>
      <c r="G71" s="3" t="s">
        <v>75</v>
      </c>
      <c r="H71" s="3" t="s">
        <v>76</v>
      </c>
      <c r="I71" s="3" t="s">
        <v>283</v>
      </c>
      <c r="J71" s="3" t="s">
        <v>179</v>
      </c>
      <c r="K71" s="23" t="s">
        <v>189</v>
      </c>
      <c r="L71" s="3"/>
      <c r="M71" s="3" t="s">
        <v>40</v>
      </c>
      <c r="N71" s="3" t="s">
        <v>39</v>
      </c>
      <c r="O71" s="3" t="s">
        <v>41</v>
      </c>
      <c r="P71" s="3" t="s">
        <v>45</v>
      </c>
      <c r="Q71" s="3" t="s">
        <v>77</v>
      </c>
      <c r="R71" s="3">
        <v>0</v>
      </c>
      <c r="S71" s="3">
        <v>0</v>
      </c>
      <c r="T71" s="3">
        <v>0</v>
      </c>
      <c r="U71" s="3">
        <v>0</v>
      </c>
      <c r="V71" s="15">
        <v>12.9</v>
      </c>
      <c r="W71" s="21">
        <v>20</v>
      </c>
      <c r="X71" s="21" t="s">
        <v>44</v>
      </c>
      <c r="Y71" s="4"/>
      <c r="Z71" s="4"/>
      <c r="AA71" s="4"/>
      <c r="AB71" s="4"/>
      <c r="AC71" s="4"/>
      <c r="AD71" s="5"/>
      <c r="AE71" s="6"/>
      <c r="AF71" s="6"/>
      <c r="AG71" s="10" t="s">
        <v>144</v>
      </c>
      <c r="AH71" s="14" t="s">
        <v>251</v>
      </c>
      <c r="AI71" s="10" t="s">
        <v>96</v>
      </c>
      <c r="AJ71" s="16" t="s">
        <v>125</v>
      </c>
      <c r="AK71" s="16" t="s">
        <v>43</v>
      </c>
      <c r="AL71" s="16">
        <v>246</v>
      </c>
      <c r="AM71" s="16">
        <v>0</v>
      </c>
      <c r="AN71" s="16">
        <v>0</v>
      </c>
      <c r="AO71" s="16">
        <v>0</v>
      </c>
      <c r="AP71" s="16">
        <v>246</v>
      </c>
      <c r="AQ71" s="16">
        <v>492</v>
      </c>
      <c r="AR71" s="17">
        <v>1</v>
      </c>
      <c r="AS71" s="17">
        <v>0</v>
      </c>
      <c r="AT71" s="17">
        <v>0</v>
      </c>
      <c r="AU71" s="17">
        <v>0</v>
      </c>
      <c r="AV71" s="18">
        <f t="shared" si="3"/>
        <v>24291</v>
      </c>
      <c r="AW71" s="18">
        <f t="shared" si="4"/>
        <v>0</v>
      </c>
      <c r="AX71" s="14">
        <v>0</v>
      </c>
      <c r="AY71" s="14">
        <v>0</v>
      </c>
      <c r="AZ71" s="18">
        <f t="shared" si="8"/>
        <v>24291</v>
      </c>
      <c r="BA71" s="22">
        <v>48582</v>
      </c>
      <c r="BB71" s="14">
        <v>0</v>
      </c>
      <c r="BC71" s="14">
        <v>0</v>
      </c>
      <c r="BD71" s="14">
        <v>0</v>
      </c>
      <c r="BE71" s="14">
        <f t="shared" si="9"/>
        <v>48582</v>
      </c>
      <c r="BF71" s="19">
        <f>[1]Analiza!$BG124*AR71</f>
        <v>0</v>
      </c>
      <c r="BG71" s="14">
        <f>[1]Analiza!$BG124*AS71</f>
        <v>0</v>
      </c>
      <c r="BH71" s="14">
        <f>[1]Analiza!$BG124*AT71</f>
        <v>0</v>
      </c>
      <c r="BI71" s="14">
        <f>[1]Analiza!$BG124*AU71</f>
        <v>0</v>
      </c>
      <c r="BJ71" s="50">
        <f t="shared" si="2"/>
        <v>0</v>
      </c>
      <c r="BK71" s="18">
        <f t="shared" si="5"/>
        <v>16194</v>
      </c>
      <c r="BL71" s="18">
        <f t="shared" si="6"/>
        <v>0</v>
      </c>
      <c r="BM71" s="18">
        <f t="shared" si="7"/>
        <v>16194</v>
      </c>
      <c r="BN71" s="51" t="s">
        <v>309</v>
      </c>
    </row>
    <row r="72" spans="1:66" x14ac:dyDescent="0.25">
      <c r="A72" s="7">
        <v>21</v>
      </c>
      <c r="B72" s="7">
        <v>1</v>
      </c>
      <c r="C72" s="11" t="s">
        <v>38</v>
      </c>
      <c r="D72" s="3" t="s">
        <v>72</v>
      </c>
      <c r="E72" s="3" t="s">
        <v>73</v>
      </c>
      <c r="F72" s="3" t="s">
        <v>74</v>
      </c>
      <c r="G72" s="3" t="s">
        <v>75</v>
      </c>
      <c r="H72" s="3" t="s">
        <v>76</v>
      </c>
      <c r="I72" s="3" t="s">
        <v>284</v>
      </c>
      <c r="J72" s="3" t="s">
        <v>180</v>
      </c>
      <c r="K72" s="21" t="s">
        <v>190</v>
      </c>
      <c r="L72" s="3" t="s">
        <v>53</v>
      </c>
      <c r="M72" s="3" t="s">
        <v>40</v>
      </c>
      <c r="N72" s="3" t="s">
        <v>39</v>
      </c>
      <c r="O72" s="3" t="s">
        <v>41</v>
      </c>
      <c r="P72" s="3" t="s">
        <v>45</v>
      </c>
      <c r="Q72" s="3" t="s">
        <v>77</v>
      </c>
      <c r="R72" s="3">
        <v>0</v>
      </c>
      <c r="S72" s="3">
        <v>0</v>
      </c>
      <c r="T72" s="3">
        <v>0</v>
      </c>
      <c r="U72" s="3">
        <v>0</v>
      </c>
      <c r="V72" s="15">
        <v>2</v>
      </c>
      <c r="W72" s="21">
        <v>10</v>
      </c>
      <c r="X72" s="21" t="s">
        <v>44</v>
      </c>
      <c r="Y72" s="4"/>
      <c r="Z72" s="4"/>
      <c r="AA72" s="4"/>
      <c r="AB72" s="4"/>
      <c r="AC72" s="4"/>
      <c r="AD72" s="5"/>
      <c r="AE72" s="6"/>
      <c r="AF72" s="6"/>
      <c r="AG72" s="21">
        <v>1108284</v>
      </c>
      <c r="AH72" s="14" t="s">
        <v>250</v>
      </c>
      <c r="AI72" s="21" t="s">
        <v>97</v>
      </c>
      <c r="AJ72" s="16" t="s">
        <v>125</v>
      </c>
      <c r="AK72" s="16" t="s">
        <v>43</v>
      </c>
      <c r="AL72" s="16">
        <v>76</v>
      </c>
      <c r="AM72" s="16">
        <v>0</v>
      </c>
      <c r="AN72" s="16">
        <v>0</v>
      </c>
      <c r="AO72" s="16">
        <v>0</v>
      </c>
      <c r="AP72" s="16">
        <v>76</v>
      </c>
      <c r="AQ72" s="16">
        <v>152</v>
      </c>
      <c r="AR72" s="17">
        <v>1</v>
      </c>
      <c r="AS72" s="17">
        <v>0</v>
      </c>
      <c r="AT72" s="17">
        <v>0</v>
      </c>
      <c r="AU72" s="17">
        <v>0</v>
      </c>
      <c r="AV72" s="18">
        <f t="shared" si="3"/>
        <v>111</v>
      </c>
      <c r="AW72" s="18">
        <f t="shared" si="4"/>
        <v>0</v>
      </c>
      <c r="AX72" s="14">
        <v>0</v>
      </c>
      <c r="AY72" s="14">
        <v>0</v>
      </c>
      <c r="AZ72" s="18">
        <f t="shared" si="8"/>
        <v>111</v>
      </c>
      <c r="BA72" s="22">
        <v>222</v>
      </c>
      <c r="BB72" s="14">
        <v>0</v>
      </c>
      <c r="BC72" s="14">
        <v>0</v>
      </c>
      <c r="BD72" s="14">
        <v>0</v>
      </c>
      <c r="BE72" s="14">
        <f t="shared" si="9"/>
        <v>222</v>
      </c>
      <c r="BF72" s="19">
        <f>[1]Analiza!$BG125*AR72</f>
        <v>0</v>
      </c>
      <c r="BG72" s="14">
        <f>[1]Analiza!$BG125*AS72</f>
        <v>0</v>
      </c>
      <c r="BH72" s="14">
        <f>[1]Analiza!$BG125*AT72</f>
        <v>0</v>
      </c>
      <c r="BI72" s="14">
        <f>[1]Analiza!$BG125*AU72</f>
        <v>0</v>
      </c>
      <c r="BJ72" s="50">
        <f t="shared" si="2"/>
        <v>0</v>
      </c>
      <c r="BK72" s="18">
        <f t="shared" si="5"/>
        <v>74</v>
      </c>
      <c r="BL72" s="18">
        <f t="shared" si="6"/>
        <v>0</v>
      </c>
      <c r="BM72" s="18">
        <f t="shared" si="7"/>
        <v>74</v>
      </c>
      <c r="BN72" s="51" t="s">
        <v>309</v>
      </c>
    </row>
    <row r="73" spans="1:66" x14ac:dyDescent="0.25">
      <c r="A73" s="7">
        <v>22</v>
      </c>
      <c r="B73" s="7">
        <v>1</v>
      </c>
      <c r="C73" s="11" t="s">
        <v>38</v>
      </c>
      <c r="D73" s="3" t="s">
        <v>72</v>
      </c>
      <c r="E73" s="3" t="s">
        <v>73</v>
      </c>
      <c r="F73" s="3" t="s">
        <v>74</v>
      </c>
      <c r="G73" s="3" t="s">
        <v>75</v>
      </c>
      <c r="H73" s="3" t="s">
        <v>76</v>
      </c>
      <c r="I73" s="3" t="s">
        <v>47</v>
      </c>
      <c r="J73" s="24" t="s">
        <v>187</v>
      </c>
      <c r="K73" s="21" t="s">
        <v>149</v>
      </c>
      <c r="L73" s="3"/>
      <c r="M73" s="3" t="s">
        <v>40</v>
      </c>
      <c r="N73" s="3" t="s">
        <v>39</v>
      </c>
      <c r="O73" s="3" t="s">
        <v>41</v>
      </c>
      <c r="P73" s="3" t="s">
        <v>45</v>
      </c>
      <c r="Q73" s="3" t="s">
        <v>77</v>
      </c>
      <c r="R73" s="3">
        <v>0</v>
      </c>
      <c r="S73" s="3">
        <v>0</v>
      </c>
      <c r="T73" s="3">
        <v>0</v>
      </c>
      <c r="U73" s="3">
        <v>0</v>
      </c>
      <c r="V73" s="15">
        <v>10.3</v>
      </c>
      <c r="W73" s="21">
        <v>10</v>
      </c>
      <c r="X73" s="21" t="s">
        <v>44</v>
      </c>
      <c r="Y73" s="4"/>
      <c r="Z73" s="4"/>
      <c r="AA73" s="4"/>
      <c r="AB73" s="4"/>
      <c r="AC73" s="4"/>
      <c r="AD73" s="5"/>
      <c r="AE73" s="6"/>
      <c r="AF73" s="6"/>
      <c r="AG73" s="21">
        <v>20787790</v>
      </c>
      <c r="AH73" s="14" t="s">
        <v>213</v>
      </c>
      <c r="AI73" s="10" t="s">
        <v>98</v>
      </c>
      <c r="AJ73" s="16" t="s">
        <v>125</v>
      </c>
      <c r="AK73" s="16" t="s">
        <v>43</v>
      </c>
      <c r="AL73" s="16">
        <v>897</v>
      </c>
      <c r="AM73" s="16">
        <v>0</v>
      </c>
      <c r="AN73" s="16">
        <v>0</v>
      </c>
      <c r="AO73" s="16">
        <v>0</v>
      </c>
      <c r="AP73" s="16">
        <v>897</v>
      </c>
      <c r="AQ73" s="16">
        <v>1794</v>
      </c>
      <c r="AR73" s="17">
        <v>1</v>
      </c>
      <c r="AS73" s="17">
        <v>0</v>
      </c>
      <c r="AT73" s="17">
        <v>0</v>
      </c>
      <c r="AU73" s="17">
        <v>0</v>
      </c>
      <c r="AV73" s="18">
        <f t="shared" si="3"/>
        <v>800</v>
      </c>
      <c r="AW73" s="18">
        <f t="shared" si="4"/>
        <v>0</v>
      </c>
      <c r="AX73" s="14">
        <v>0</v>
      </c>
      <c r="AY73" s="14">
        <v>0</v>
      </c>
      <c r="AZ73" s="18">
        <f t="shared" si="8"/>
        <v>800</v>
      </c>
      <c r="BA73" s="22">
        <v>1600</v>
      </c>
      <c r="BB73" s="14">
        <v>0</v>
      </c>
      <c r="BC73" s="14">
        <v>0</v>
      </c>
      <c r="BD73" s="14">
        <v>0</v>
      </c>
      <c r="BE73" s="14">
        <f t="shared" si="9"/>
        <v>1600</v>
      </c>
      <c r="BF73" s="19">
        <f>[1]Analiza!$BG126*AR73</f>
        <v>0</v>
      </c>
      <c r="BG73" s="14">
        <f>[1]Analiza!$BG126*AS73</f>
        <v>0</v>
      </c>
      <c r="BH73" s="14">
        <f>[1]Analiza!$BG126*AT73</f>
        <v>0</v>
      </c>
      <c r="BI73" s="14">
        <f>[1]Analiza!$BG126*AU73</f>
        <v>0</v>
      </c>
      <c r="BJ73" s="50">
        <f t="shared" si="2"/>
        <v>0</v>
      </c>
      <c r="BK73" s="18">
        <f t="shared" si="5"/>
        <v>533.33333333333337</v>
      </c>
      <c r="BL73" s="18">
        <f t="shared" si="6"/>
        <v>0</v>
      </c>
      <c r="BM73" s="18">
        <f t="shared" si="7"/>
        <v>533.33333333333337</v>
      </c>
      <c r="BN73" s="51" t="s">
        <v>309</v>
      </c>
    </row>
    <row r="74" spans="1:66" x14ac:dyDescent="0.25">
      <c r="A74" s="7">
        <v>23</v>
      </c>
      <c r="B74" s="7">
        <v>1</v>
      </c>
      <c r="C74" s="11" t="s">
        <v>38</v>
      </c>
      <c r="D74" s="3" t="s">
        <v>72</v>
      </c>
      <c r="E74" s="3" t="s">
        <v>73</v>
      </c>
      <c r="F74" s="3" t="s">
        <v>74</v>
      </c>
      <c r="G74" s="3" t="s">
        <v>75</v>
      </c>
      <c r="H74" s="3" t="s">
        <v>76</v>
      </c>
      <c r="I74" s="3" t="s">
        <v>52</v>
      </c>
      <c r="J74" s="3" t="s">
        <v>181</v>
      </c>
      <c r="K74" s="21" t="s">
        <v>191</v>
      </c>
      <c r="L74" s="3" t="s">
        <v>59</v>
      </c>
      <c r="M74" s="3" t="s">
        <v>40</v>
      </c>
      <c r="N74" s="3" t="s">
        <v>39</v>
      </c>
      <c r="O74" s="3" t="s">
        <v>41</v>
      </c>
      <c r="P74" s="3" t="s">
        <v>45</v>
      </c>
      <c r="Q74" s="3" t="s">
        <v>77</v>
      </c>
      <c r="R74" s="3">
        <v>0</v>
      </c>
      <c r="S74" s="3">
        <v>0</v>
      </c>
      <c r="T74" s="3">
        <v>0</v>
      </c>
      <c r="U74" s="3">
        <v>0</v>
      </c>
      <c r="V74" s="15">
        <v>32.200000000000003</v>
      </c>
      <c r="W74" s="21">
        <v>50</v>
      </c>
      <c r="X74" s="21" t="s">
        <v>44</v>
      </c>
      <c r="Y74" s="4"/>
      <c r="Z74" s="4"/>
      <c r="AA74" s="4"/>
      <c r="AB74" s="4"/>
      <c r="AC74" s="4"/>
      <c r="AD74" s="5"/>
      <c r="AE74" s="6"/>
      <c r="AF74" s="6"/>
      <c r="AG74" s="10" t="s">
        <v>145</v>
      </c>
      <c r="AH74" s="14" t="s">
        <v>211</v>
      </c>
      <c r="AI74" s="10" t="s">
        <v>99</v>
      </c>
      <c r="AJ74" s="16" t="s">
        <v>125</v>
      </c>
      <c r="AK74" s="16" t="s">
        <v>43</v>
      </c>
      <c r="AL74" s="16">
        <v>1400</v>
      </c>
      <c r="AM74" s="16">
        <v>0</v>
      </c>
      <c r="AN74" s="16">
        <v>0</v>
      </c>
      <c r="AO74" s="16">
        <v>0</v>
      </c>
      <c r="AP74" s="16">
        <v>1400</v>
      </c>
      <c r="AQ74" s="16">
        <v>2800</v>
      </c>
      <c r="AR74" s="17">
        <v>1</v>
      </c>
      <c r="AS74" s="17">
        <v>0</v>
      </c>
      <c r="AT74" s="17">
        <v>0</v>
      </c>
      <c r="AU74" s="17">
        <v>0</v>
      </c>
      <c r="AV74" s="18">
        <f t="shared" si="3"/>
        <v>780</v>
      </c>
      <c r="AW74" s="18">
        <f t="shared" si="4"/>
        <v>0</v>
      </c>
      <c r="AX74" s="14">
        <v>0</v>
      </c>
      <c r="AY74" s="14">
        <v>0</v>
      </c>
      <c r="AZ74" s="18">
        <f t="shared" si="8"/>
        <v>780</v>
      </c>
      <c r="BA74" s="22">
        <f>130*12</f>
        <v>1560</v>
      </c>
      <c r="BB74" s="14">
        <v>0</v>
      </c>
      <c r="BC74" s="14">
        <v>0</v>
      </c>
      <c r="BD74" s="14">
        <v>0</v>
      </c>
      <c r="BE74" s="14">
        <f t="shared" si="9"/>
        <v>1560</v>
      </c>
      <c r="BF74" s="19">
        <f>[1]Analiza!$BG127*AR74</f>
        <v>0</v>
      </c>
      <c r="BG74" s="14">
        <f>[1]Analiza!$BG127*AS74</f>
        <v>0</v>
      </c>
      <c r="BH74" s="14">
        <f>[1]Analiza!$BG127*AT74</f>
        <v>0</v>
      </c>
      <c r="BI74" s="14">
        <f>[1]Analiza!$BG127*AU74</f>
        <v>0</v>
      </c>
      <c r="BJ74" s="50">
        <f t="shared" si="2"/>
        <v>0</v>
      </c>
      <c r="BK74" s="18">
        <f t="shared" si="5"/>
        <v>520</v>
      </c>
      <c r="BL74" s="18">
        <f t="shared" si="6"/>
        <v>0</v>
      </c>
      <c r="BM74" s="18">
        <f t="shared" si="7"/>
        <v>520</v>
      </c>
      <c r="BN74" s="51" t="s">
        <v>309</v>
      </c>
    </row>
    <row r="75" spans="1:66" x14ac:dyDescent="0.25">
      <c r="A75" s="7">
        <v>24</v>
      </c>
      <c r="B75" s="7">
        <v>1</v>
      </c>
      <c r="C75" s="11" t="s">
        <v>38</v>
      </c>
      <c r="D75" s="3" t="s">
        <v>72</v>
      </c>
      <c r="E75" s="3" t="s">
        <v>73</v>
      </c>
      <c r="F75" s="3" t="s">
        <v>74</v>
      </c>
      <c r="G75" s="3" t="s">
        <v>75</v>
      </c>
      <c r="H75" s="3" t="s">
        <v>76</v>
      </c>
      <c r="I75" s="3" t="s">
        <v>285</v>
      </c>
      <c r="J75" s="3" t="s">
        <v>181</v>
      </c>
      <c r="K75" s="21" t="s">
        <v>150</v>
      </c>
      <c r="L75" s="3"/>
      <c r="M75" s="3" t="s">
        <v>40</v>
      </c>
      <c r="N75" s="3" t="s">
        <v>39</v>
      </c>
      <c r="O75" s="3" t="s">
        <v>41</v>
      </c>
      <c r="P75" s="3" t="s">
        <v>45</v>
      </c>
      <c r="Q75" s="3" t="s">
        <v>77</v>
      </c>
      <c r="R75" s="3">
        <v>0</v>
      </c>
      <c r="S75" s="3">
        <v>0</v>
      </c>
      <c r="T75" s="3">
        <v>0</v>
      </c>
      <c r="U75" s="3">
        <v>0</v>
      </c>
      <c r="V75" s="15">
        <v>40</v>
      </c>
      <c r="W75" s="21">
        <v>63</v>
      </c>
      <c r="X75" s="21" t="s">
        <v>44</v>
      </c>
      <c r="Y75" s="4"/>
      <c r="Z75" s="4"/>
      <c r="AA75" s="4"/>
      <c r="AB75" s="4"/>
      <c r="AC75" s="4"/>
      <c r="AD75" s="5"/>
      <c r="AE75" s="6"/>
      <c r="AF75" s="6"/>
      <c r="AG75" s="21">
        <v>46274226</v>
      </c>
      <c r="AH75" s="14" t="s">
        <v>248</v>
      </c>
      <c r="AI75" s="10" t="s">
        <v>100</v>
      </c>
      <c r="AJ75" s="16" t="s">
        <v>125</v>
      </c>
      <c r="AK75" s="16" t="s">
        <v>43</v>
      </c>
      <c r="AL75" s="16">
        <v>4176</v>
      </c>
      <c r="AM75" s="16">
        <v>0</v>
      </c>
      <c r="AN75" s="16">
        <v>0</v>
      </c>
      <c r="AO75" s="16">
        <v>0</v>
      </c>
      <c r="AP75" s="16">
        <v>4176</v>
      </c>
      <c r="AQ75" s="16">
        <v>8352</v>
      </c>
      <c r="AR75" s="17">
        <v>1</v>
      </c>
      <c r="AS75" s="17">
        <v>0</v>
      </c>
      <c r="AT75" s="17">
        <v>0</v>
      </c>
      <c r="AU75" s="17">
        <v>0</v>
      </c>
      <c r="AV75" s="18">
        <f t="shared" si="3"/>
        <v>7724.5</v>
      </c>
      <c r="AW75" s="18">
        <f t="shared" si="4"/>
        <v>0</v>
      </c>
      <c r="AX75" s="14">
        <v>0</v>
      </c>
      <c r="AY75" s="14">
        <v>0</v>
      </c>
      <c r="AZ75" s="18">
        <f t="shared" si="8"/>
        <v>7724.5</v>
      </c>
      <c r="BA75" s="22">
        <v>15449</v>
      </c>
      <c r="BB75" s="14">
        <v>0</v>
      </c>
      <c r="BC75" s="14">
        <v>0</v>
      </c>
      <c r="BD75" s="14">
        <v>0</v>
      </c>
      <c r="BE75" s="14">
        <f t="shared" si="9"/>
        <v>15449</v>
      </c>
      <c r="BF75" s="19">
        <f>[1]Analiza!$BG128*AR75</f>
        <v>0</v>
      </c>
      <c r="BG75" s="14">
        <f>[1]Analiza!$BG128*AS75</f>
        <v>0</v>
      </c>
      <c r="BH75" s="14">
        <f>[1]Analiza!$BG128*AT75</f>
        <v>0</v>
      </c>
      <c r="BI75" s="14">
        <f>[1]Analiza!$BG128*AU75</f>
        <v>0</v>
      </c>
      <c r="BJ75" s="50">
        <f t="shared" si="2"/>
        <v>0</v>
      </c>
      <c r="BK75" s="18">
        <f t="shared" si="5"/>
        <v>5149.666666666667</v>
      </c>
      <c r="BL75" s="18">
        <f t="shared" si="6"/>
        <v>0</v>
      </c>
      <c r="BM75" s="18">
        <f t="shared" si="7"/>
        <v>5149.666666666667</v>
      </c>
      <c r="BN75" s="51" t="s">
        <v>309</v>
      </c>
    </row>
    <row r="76" spans="1:66" x14ac:dyDescent="0.25">
      <c r="A76" s="7">
        <v>25</v>
      </c>
      <c r="B76" s="7">
        <v>1</v>
      </c>
      <c r="C76" s="11" t="s">
        <v>38</v>
      </c>
      <c r="D76" s="3" t="s">
        <v>72</v>
      </c>
      <c r="E76" s="3" t="s">
        <v>73</v>
      </c>
      <c r="F76" s="3" t="s">
        <v>74</v>
      </c>
      <c r="G76" s="3" t="s">
        <v>75</v>
      </c>
      <c r="H76" s="3" t="s">
        <v>76</v>
      </c>
      <c r="I76" s="3" t="s">
        <v>286</v>
      </c>
      <c r="J76" s="3" t="s">
        <v>247</v>
      </c>
      <c r="K76" s="21" t="s">
        <v>150</v>
      </c>
      <c r="L76" s="3"/>
      <c r="M76" s="3" t="s">
        <v>40</v>
      </c>
      <c r="N76" s="3" t="s">
        <v>39</v>
      </c>
      <c r="O76" s="3" t="s">
        <v>41</v>
      </c>
      <c r="P76" s="3" t="s">
        <v>45</v>
      </c>
      <c r="Q76" s="3" t="s">
        <v>77</v>
      </c>
      <c r="R76" s="3">
        <v>0</v>
      </c>
      <c r="S76" s="3">
        <v>0</v>
      </c>
      <c r="T76" s="3">
        <v>0</v>
      </c>
      <c r="U76" s="3">
        <v>0</v>
      </c>
      <c r="V76" s="15">
        <v>10</v>
      </c>
      <c r="W76" s="21">
        <v>16</v>
      </c>
      <c r="X76" s="21" t="s">
        <v>44</v>
      </c>
      <c r="Y76" s="4"/>
      <c r="Z76" s="4"/>
      <c r="AA76" s="4"/>
      <c r="AB76" s="4"/>
      <c r="AC76" s="4"/>
      <c r="AD76" s="5"/>
      <c r="AE76" s="6"/>
      <c r="AF76" s="6"/>
      <c r="AG76" s="10" t="s">
        <v>146</v>
      </c>
      <c r="AH76" s="14" t="s">
        <v>246</v>
      </c>
      <c r="AI76" s="10" t="s">
        <v>101</v>
      </c>
      <c r="AJ76" s="16" t="s">
        <v>125</v>
      </c>
      <c r="AK76" s="16" t="s">
        <v>43</v>
      </c>
      <c r="AL76" s="16">
        <v>333</v>
      </c>
      <c r="AM76" s="16">
        <v>0</v>
      </c>
      <c r="AN76" s="16">
        <v>0</v>
      </c>
      <c r="AO76" s="16">
        <v>0</v>
      </c>
      <c r="AP76" s="16">
        <v>333</v>
      </c>
      <c r="AQ76" s="16">
        <v>666</v>
      </c>
      <c r="AR76" s="17">
        <v>1</v>
      </c>
      <c r="AS76" s="17">
        <v>0</v>
      </c>
      <c r="AT76" s="17">
        <v>0</v>
      </c>
      <c r="AU76" s="17">
        <v>0</v>
      </c>
      <c r="AV76" s="18">
        <f t="shared" si="3"/>
        <v>4800</v>
      </c>
      <c r="AW76" s="18">
        <f t="shared" si="4"/>
        <v>0</v>
      </c>
      <c r="AX76" s="14">
        <v>0</v>
      </c>
      <c r="AY76" s="14">
        <v>0</v>
      </c>
      <c r="AZ76" s="18">
        <f t="shared" si="8"/>
        <v>4800</v>
      </c>
      <c r="BA76" s="21">
        <f>800*12</f>
        <v>9600</v>
      </c>
      <c r="BB76" s="14">
        <v>0</v>
      </c>
      <c r="BC76" s="14">
        <v>0</v>
      </c>
      <c r="BD76" s="14">
        <v>0</v>
      </c>
      <c r="BE76" s="14">
        <f t="shared" si="9"/>
        <v>9600</v>
      </c>
      <c r="BF76" s="19">
        <f>[1]Analiza!$BG129*AR76</f>
        <v>0</v>
      </c>
      <c r="BG76" s="14">
        <f>[1]Analiza!$BG129*AS76</f>
        <v>0</v>
      </c>
      <c r="BH76" s="14">
        <f>[1]Analiza!$BG129*AT76</f>
        <v>0</v>
      </c>
      <c r="BI76" s="14">
        <f>[1]Analiza!$BG129*AU76</f>
        <v>0</v>
      </c>
      <c r="BJ76" s="50">
        <f t="shared" si="2"/>
        <v>0</v>
      </c>
      <c r="BK76" s="18">
        <f t="shared" si="5"/>
        <v>3200</v>
      </c>
      <c r="BL76" s="18">
        <f t="shared" si="6"/>
        <v>0</v>
      </c>
      <c r="BM76" s="18">
        <f t="shared" si="7"/>
        <v>3200</v>
      </c>
      <c r="BN76" s="51" t="s">
        <v>309</v>
      </c>
    </row>
    <row r="77" spans="1:66" x14ac:dyDescent="0.25">
      <c r="A77" s="7">
        <v>26</v>
      </c>
      <c r="B77" s="7">
        <v>1</v>
      </c>
      <c r="C77" s="11" t="s">
        <v>38</v>
      </c>
      <c r="D77" s="3" t="s">
        <v>72</v>
      </c>
      <c r="E77" s="3" t="s">
        <v>73</v>
      </c>
      <c r="F77" s="3" t="s">
        <v>74</v>
      </c>
      <c r="G77" s="3" t="s">
        <v>75</v>
      </c>
      <c r="H77" s="3" t="s">
        <v>76</v>
      </c>
      <c r="I77" s="3" t="s">
        <v>287</v>
      </c>
      <c r="J77" s="3" t="s">
        <v>178</v>
      </c>
      <c r="K77" s="14" t="s">
        <v>182</v>
      </c>
      <c r="L77" s="3" t="s">
        <v>192</v>
      </c>
      <c r="M77" s="3" t="s">
        <v>40</v>
      </c>
      <c r="N77" s="3" t="s">
        <v>39</v>
      </c>
      <c r="O77" s="3" t="s">
        <v>41</v>
      </c>
      <c r="P77" s="3" t="s">
        <v>45</v>
      </c>
      <c r="Q77" s="3" t="s">
        <v>77</v>
      </c>
      <c r="R77" s="3">
        <v>0</v>
      </c>
      <c r="S77" s="3">
        <v>0</v>
      </c>
      <c r="T77" s="3">
        <v>0</v>
      </c>
      <c r="U77" s="3">
        <v>0</v>
      </c>
      <c r="V77" s="15">
        <v>4</v>
      </c>
      <c r="W77" s="21">
        <v>20</v>
      </c>
      <c r="X77" s="21" t="s">
        <v>44</v>
      </c>
      <c r="Y77" s="4"/>
      <c r="Z77" s="4"/>
      <c r="AA77" s="4"/>
      <c r="AB77" s="4"/>
      <c r="AC77" s="4"/>
      <c r="AD77" s="5"/>
      <c r="AE77" s="6"/>
      <c r="AF77" s="6"/>
      <c r="AG77" s="21">
        <v>80528869</v>
      </c>
      <c r="AH77" s="14" t="s">
        <v>254</v>
      </c>
      <c r="AI77" s="14" t="s">
        <v>252</v>
      </c>
      <c r="AJ77" s="16" t="s">
        <v>125</v>
      </c>
      <c r="AK77" s="16" t="s">
        <v>43</v>
      </c>
      <c r="AL77" s="16">
        <v>26508</v>
      </c>
      <c r="AM77" s="16">
        <v>0</v>
      </c>
      <c r="AN77" s="16">
        <v>0</v>
      </c>
      <c r="AO77" s="16">
        <v>0</v>
      </c>
      <c r="AP77" s="16">
        <v>26508</v>
      </c>
      <c r="AQ77" s="16">
        <v>53016</v>
      </c>
      <c r="AR77" s="17">
        <v>1</v>
      </c>
      <c r="AS77" s="17">
        <v>0</v>
      </c>
      <c r="AT77" s="17">
        <v>0</v>
      </c>
      <c r="AU77" s="17">
        <v>0</v>
      </c>
      <c r="AV77" s="18">
        <f t="shared" si="3"/>
        <v>540</v>
      </c>
      <c r="AW77" s="18">
        <f t="shared" si="4"/>
        <v>0</v>
      </c>
      <c r="AX77" s="14">
        <v>0</v>
      </c>
      <c r="AY77" s="14">
        <v>0</v>
      </c>
      <c r="AZ77" s="18">
        <f t="shared" si="8"/>
        <v>540</v>
      </c>
      <c r="BA77" s="22">
        <v>1080</v>
      </c>
      <c r="BB77" s="14">
        <v>0</v>
      </c>
      <c r="BC77" s="14">
        <v>0</v>
      </c>
      <c r="BD77" s="14">
        <v>0</v>
      </c>
      <c r="BE77" s="14">
        <f t="shared" si="9"/>
        <v>1080</v>
      </c>
      <c r="BF77" s="19">
        <f>[1]Analiza!$BG130*AR77</f>
        <v>0</v>
      </c>
      <c r="BG77" s="14">
        <f>[1]Analiza!$BG130*AS77</f>
        <v>0</v>
      </c>
      <c r="BH77" s="14">
        <f>[1]Analiza!$BG130*AT77</f>
        <v>0</v>
      </c>
      <c r="BI77" s="14">
        <f>[1]Analiza!$BG130*AU77</f>
        <v>0</v>
      </c>
      <c r="BJ77" s="50">
        <f t="shared" si="2"/>
        <v>0</v>
      </c>
      <c r="BK77" s="18">
        <f t="shared" si="5"/>
        <v>360</v>
      </c>
      <c r="BL77" s="18">
        <f t="shared" si="6"/>
        <v>0</v>
      </c>
      <c r="BM77" s="18">
        <f t="shared" si="7"/>
        <v>360</v>
      </c>
      <c r="BN77" s="51" t="s">
        <v>309</v>
      </c>
    </row>
    <row r="78" spans="1:66" x14ac:dyDescent="0.25">
      <c r="A78" s="7">
        <v>27</v>
      </c>
      <c r="B78" s="7">
        <v>1</v>
      </c>
      <c r="C78" s="11" t="s">
        <v>38</v>
      </c>
      <c r="D78" s="3" t="s">
        <v>72</v>
      </c>
      <c r="E78" s="3" t="s">
        <v>73</v>
      </c>
      <c r="F78" s="3" t="s">
        <v>74</v>
      </c>
      <c r="G78" s="3" t="s">
        <v>75</v>
      </c>
      <c r="H78" s="3" t="s">
        <v>76</v>
      </c>
      <c r="I78" s="3" t="s">
        <v>288</v>
      </c>
      <c r="J78" s="3" t="s">
        <v>178</v>
      </c>
      <c r="K78" s="14" t="s">
        <v>182</v>
      </c>
      <c r="L78" s="3" t="s">
        <v>193</v>
      </c>
      <c r="M78" s="3" t="s">
        <v>40</v>
      </c>
      <c r="N78" s="3" t="s">
        <v>39</v>
      </c>
      <c r="O78" s="3" t="s">
        <v>41</v>
      </c>
      <c r="P78" s="3" t="s">
        <v>45</v>
      </c>
      <c r="Q78" s="3" t="s">
        <v>77</v>
      </c>
      <c r="R78" s="3">
        <v>0</v>
      </c>
      <c r="S78" s="3">
        <v>0</v>
      </c>
      <c r="T78" s="3">
        <v>0</v>
      </c>
      <c r="U78" s="3">
        <v>0</v>
      </c>
      <c r="V78" s="15">
        <v>4</v>
      </c>
      <c r="W78" s="21">
        <v>20</v>
      </c>
      <c r="X78" s="21" t="s">
        <v>44</v>
      </c>
      <c r="Y78" s="4"/>
      <c r="Z78" s="4"/>
      <c r="AA78" s="4"/>
      <c r="AB78" s="4"/>
      <c r="AC78" s="4"/>
      <c r="AD78" s="5"/>
      <c r="AE78" s="6"/>
      <c r="AF78" s="6"/>
      <c r="AG78" s="21">
        <v>80487482</v>
      </c>
      <c r="AH78" s="14" t="s">
        <v>255</v>
      </c>
      <c r="AI78" s="14" t="s">
        <v>253</v>
      </c>
      <c r="AJ78" s="16" t="s">
        <v>125</v>
      </c>
      <c r="AK78" s="16" t="s">
        <v>43</v>
      </c>
      <c r="AL78" s="16">
        <v>20</v>
      </c>
      <c r="AM78" s="16">
        <v>0</v>
      </c>
      <c r="AN78" s="16">
        <v>0</v>
      </c>
      <c r="AO78" s="16">
        <v>0</v>
      </c>
      <c r="AP78" s="16">
        <v>20</v>
      </c>
      <c r="AQ78" s="16">
        <v>40</v>
      </c>
      <c r="AR78" s="17">
        <v>1</v>
      </c>
      <c r="AS78" s="17">
        <v>0</v>
      </c>
      <c r="AT78" s="17">
        <v>0</v>
      </c>
      <c r="AU78" s="17">
        <v>0</v>
      </c>
      <c r="AV78" s="18">
        <f t="shared" si="3"/>
        <v>240</v>
      </c>
      <c r="AW78" s="18">
        <f t="shared" si="4"/>
        <v>0</v>
      </c>
      <c r="AX78" s="14">
        <v>0</v>
      </c>
      <c r="AY78" s="14">
        <v>0</v>
      </c>
      <c r="AZ78" s="18">
        <f t="shared" si="8"/>
        <v>240</v>
      </c>
      <c r="BA78" s="22">
        <v>480</v>
      </c>
      <c r="BB78" s="14">
        <v>0</v>
      </c>
      <c r="BC78" s="14">
        <v>0</v>
      </c>
      <c r="BD78" s="14">
        <v>0</v>
      </c>
      <c r="BE78" s="14">
        <f t="shared" si="9"/>
        <v>480</v>
      </c>
      <c r="BF78" s="19">
        <f>[1]Analiza!$BG131*AR78</f>
        <v>0</v>
      </c>
      <c r="BG78" s="14">
        <f>[1]Analiza!$BG131*AS78</f>
        <v>0</v>
      </c>
      <c r="BH78" s="14">
        <f>[1]Analiza!$BG131*AT78</f>
        <v>0</v>
      </c>
      <c r="BI78" s="14">
        <f>[1]Analiza!$BG131*AU78</f>
        <v>0</v>
      </c>
      <c r="BJ78" s="50">
        <f t="shared" si="2"/>
        <v>0</v>
      </c>
      <c r="BK78" s="18">
        <f t="shared" si="5"/>
        <v>160</v>
      </c>
      <c r="BL78" s="18">
        <f t="shared" si="6"/>
        <v>0</v>
      </c>
      <c r="BM78" s="18">
        <f t="shared" si="7"/>
        <v>160</v>
      </c>
      <c r="BN78" s="51" t="s">
        <v>309</v>
      </c>
    </row>
    <row r="79" spans="1:66" x14ac:dyDescent="0.25">
      <c r="A79" s="7">
        <v>28</v>
      </c>
      <c r="B79" s="7"/>
      <c r="C79" s="11"/>
      <c r="D79" s="3"/>
      <c r="E79" s="3"/>
      <c r="F79" s="3"/>
      <c r="G79" s="3"/>
      <c r="H79" s="3"/>
      <c r="I79" s="3" t="s">
        <v>68</v>
      </c>
      <c r="J79" s="3" t="s">
        <v>184</v>
      </c>
      <c r="K79" s="14" t="s">
        <v>168</v>
      </c>
      <c r="L79" s="3" t="s">
        <v>194</v>
      </c>
      <c r="M79" s="3"/>
      <c r="N79" s="3"/>
      <c r="O79" s="3"/>
      <c r="P79" s="3"/>
      <c r="Q79" s="3"/>
      <c r="R79" s="3"/>
      <c r="S79" s="3"/>
      <c r="T79" s="3"/>
      <c r="U79" s="3"/>
      <c r="V79" s="15">
        <v>4</v>
      </c>
      <c r="W79" s="21">
        <v>20</v>
      </c>
      <c r="X79" s="21" t="s">
        <v>44</v>
      </c>
      <c r="Y79" s="4"/>
      <c r="Z79" s="4"/>
      <c r="AA79" s="4"/>
      <c r="AB79" s="4"/>
      <c r="AC79" s="4"/>
      <c r="AD79" s="5"/>
      <c r="AE79" s="6"/>
      <c r="AF79" s="6"/>
      <c r="AG79" s="10">
        <v>22936729</v>
      </c>
      <c r="AH79" s="14" t="s">
        <v>231</v>
      </c>
      <c r="AI79" s="14" t="s">
        <v>230</v>
      </c>
      <c r="AJ79" s="16"/>
      <c r="AK79" s="16"/>
      <c r="AL79" s="16"/>
      <c r="AM79" s="16"/>
      <c r="AN79" s="16"/>
      <c r="AO79" s="16"/>
      <c r="AP79" s="16"/>
      <c r="AQ79" s="16"/>
      <c r="AR79" s="17"/>
      <c r="AS79" s="17"/>
      <c r="AT79" s="17"/>
      <c r="AU79" s="17"/>
      <c r="AV79" s="18">
        <f t="shared" si="3"/>
        <v>360</v>
      </c>
      <c r="AW79" s="18">
        <f t="shared" si="4"/>
        <v>0</v>
      </c>
      <c r="AX79" s="14">
        <v>0</v>
      </c>
      <c r="AY79" s="14">
        <v>0</v>
      </c>
      <c r="AZ79" s="18">
        <f t="shared" ref="AZ79:AZ81" si="10">SUM(AV79,AW79,AX79)</f>
        <v>360</v>
      </c>
      <c r="BA79" s="14">
        <v>720</v>
      </c>
      <c r="BB79" s="14">
        <v>0</v>
      </c>
      <c r="BC79" s="14">
        <v>0</v>
      </c>
      <c r="BD79" s="14">
        <v>0</v>
      </c>
      <c r="BE79" s="14">
        <f t="shared" ref="BE79:BE81" si="11">SUM(BA79,BB79,BC79)</f>
        <v>720</v>
      </c>
      <c r="BF79" s="19"/>
      <c r="BG79" s="14"/>
      <c r="BH79" s="14"/>
      <c r="BI79" s="14"/>
      <c r="BJ79" s="50"/>
      <c r="BK79" s="18">
        <f t="shared" si="5"/>
        <v>240</v>
      </c>
      <c r="BL79" s="18">
        <f t="shared" si="6"/>
        <v>0</v>
      </c>
      <c r="BM79" s="18">
        <f t="shared" si="7"/>
        <v>240</v>
      </c>
      <c r="BN79" s="51" t="s">
        <v>309</v>
      </c>
    </row>
    <row r="80" spans="1:66" x14ac:dyDescent="0.25">
      <c r="A80" s="7">
        <v>29</v>
      </c>
      <c r="B80" s="7"/>
      <c r="C80" s="11"/>
      <c r="D80" s="3"/>
      <c r="E80" s="3"/>
      <c r="F80" s="3"/>
      <c r="G80" s="3"/>
      <c r="H80" s="3"/>
      <c r="I80" s="3" t="s">
        <v>58</v>
      </c>
      <c r="J80" s="3" t="s">
        <v>269</v>
      </c>
      <c r="K80" s="14" t="s">
        <v>168</v>
      </c>
      <c r="L80" s="3" t="s">
        <v>68</v>
      </c>
      <c r="M80" s="3"/>
      <c r="N80" s="3"/>
      <c r="O80" s="3"/>
      <c r="P80" s="3"/>
      <c r="Q80" s="3"/>
      <c r="R80" s="3"/>
      <c r="S80" s="3"/>
      <c r="T80" s="3"/>
      <c r="U80" s="3"/>
      <c r="V80" s="15">
        <v>20</v>
      </c>
      <c r="W80" s="21">
        <v>40</v>
      </c>
      <c r="X80" s="21" t="s">
        <v>44</v>
      </c>
      <c r="Y80" s="4"/>
      <c r="Z80" s="4"/>
      <c r="AA80" s="4"/>
      <c r="AB80" s="4"/>
      <c r="AC80" s="4"/>
      <c r="AD80" s="5"/>
      <c r="AE80" s="6"/>
      <c r="AF80" s="6"/>
      <c r="AG80" s="14">
        <v>47715707</v>
      </c>
      <c r="AH80" s="14" t="s">
        <v>270</v>
      </c>
      <c r="AI80" s="14" t="s">
        <v>271</v>
      </c>
      <c r="AJ80" s="16"/>
      <c r="AK80" s="16"/>
      <c r="AL80" s="16"/>
      <c r="AM80" s="16"/>
      <c r="AN80" s="16"/>
      <c r="AO80" s="16"/>
      <c r="AP80" s="16"/>
      <c r="AQ80" s="16"/>
      <c r="AR80" s="17"/>
      <c r="AS80" s="17"/>
      <c r="AT80" s="17"/>
      <c r="AU80" s="17"/>
      <c r="AV80" s="18">
        <f t="shared" si="3"/>
        <v>240</v>
      </c>
      <c r="AW80" s="18">
        <f t="shared" si="4"/>
        <v>0</v>
      </c>
      <c r="AX80" s="14">
        <v>0</v>
      </c>
      <c r="AY80" s="14">
        <v>0</v>
      </c>
      <c r="AZ80" s="18">
        <f t="shared" si="10"/>
        <v>240</v>
      </c>
      <c r="BA80" s="14">
        <v>480</v>
      </c>
      <c r="BB80" s="14">
        <v>0</v>
      </c>
      <c r="BC80" s="14">
        <v>0</v>
      </c>
      <c r="BD80" s="14">
        <v>0</v>
      </c>
      <c r="BE80" s="14">
        <f t="shared" si="11"/>
        <v>480</v>
      </c>
      <c r="BF80" s="19"/>
      <c r="BG80" s="14"/>
      <c r="BH80" s="14"/>
      <c r="BI80" s="14"/>
      <c r="BJ80" s="50"/>
      <c r="BK80" s="18">
        <f t="shared" si="5"/>
        <v>160</v>
      </c>
      <c r="BL80" s="18">
        <f t="shared" si="6"/>
        <v>0</v>
      </c>
      <c r="BM80" s="18">
        <f t="shared" si="7"/>
        <v>160</v>
      </c>
      <c r="BN80" s="51" t="s">
        <v>309</v>
      </c>
    </row>
    <row r="81" spans="1:66" x14ac:dyDescent="0.25">
      <c r="A81" s="7">
        <v>30</v>
      </c>
      <c r="B81" s="7"/>
      <c r="C81" s="11"/>
      <c r="D81" s="3"/>
      <c r="E81" s="3"/>
      <c r="F81" s="3"/>
      <c r="G81" s="3"/>
      <c r="H81" s="3"/>
      <c r="I81" s="3" t="s">
        <v>289</v>
      </c>
      <c r="J81" s="21" t="s">
        <v>258</v>
      </c>
      <c r="K81" s="21" t="s">
        <v>260</v>
      </c>
      <c r="L81" s="3" t="s">
        <v>261</v>
      </c>
      <c r="M81" s="3" t="s">
        <v>40</v>
      </c>
      <c r="N81" s="3" t="s">
        <v>39</v>
      </c>
      <c r="O81" s="3" t="s">
        <v>41</v>
      </c>
      <c r="P81" s="3" t="s">
        <v>45</v>
      </c>
      <c r="Q81" s="3" t="s">
        <v>77</v>
      </c>
      <c r="R81" s="3">
        <v>0</v>
      </c>
      <c r="S81" s="3">
        <v>0</v>
      </c>
      <c r="T81" s="3">
        <v>0</v>
      </c>
      <c r="U81" s="3">
        <v>0</v>
      </c>
      <c r="V81" s="25">
        <v>40</v>
      </c>
      <c r="W81" s="21">
        <v>63</v>
      </c>
      <c r="X81" s="21" t="s">
        <v>44</v>
      </c>
      <c r="Y81" s="4"/>
      <c r="Z81" s="4"/>
      <c r="AA81" s="4"/>
      <c r="AB81" s="4"/>
      <c r="AC81" s="4"/>
      <c r="AD81" s="5"/>
      <c r="AE81" s="6"/>
      <c r="AF81" s="6"/>
      <c r="AG81" s="21">
        <v>9337065</v>
      </c>
      <c r="AH81" s="6"/>
      <c r="AI81" s="21" t="s">
        <v>123</v>
      </c>
      <c r="AJ81" s="16" t="s">
        <v>125</v>
      </c>
      <c r="AK81" s="16" t="s">
        <v>43</v>
      </c>
      <c r="AL81" s="16">
        <v>3011</v>
      </c>
      <c r="AM81" s="16">
        <v>6968</v>
      </c>
      <c r="AN81" s="16">
        <v>0</v>
      </c>
      <c r="AO81" s="16">
        <v>0</v>
      </c>
      <c r="AP81" s="16">
        <v>9979</v>
      </c>
      <c r="AQ81" s="16">
        <v>19958</v>
      </c>
      <c r="AR81" s="17">
        <v>0.30173364064535524</v>
      </c>
      <c r="AS81" s="17">
        <v>0.69826635935464476</v>
      </c>
      <c r="AT81" s="17">
        <v>0</v>
      </c>
      <c r="AU81" s="17">
        <v>0</v>
      </c>
      <c r="AV81" s="18">
        <f t="shared" si="3"/>
        <v>20000</v>
      </c>
      <c r="AW81" s="18">
        <f t="shared" si="4"/>
        <v>0</v>
      </c>
      <c r="AX81" s="14">
        <v>0</v>
      </c>
      <c r="AY81" s="14">
        <v>0</v>
      </c>
      <c r="AZ81" s="18">
        <f t="shared" si="10"/>
        <v>20000</v>
      </c>
      <c r="BA81" s="21">
        <v>40000</v>
      </c>
      <c r="BB81" s="14">
        <v>0</v>
      </c>
      <c r="BC81" s="14">
        <v>0</v>
      </c>
      <c r="BD81" s="14">
        <v>0</v>
      </c>
      <c r="BE81" s="14">
        <f t="shared" si="11"/>
        <v>40000</v>
      </c>
      <c r="BF81" s="19"/>
      <c r="BG81" s="14"/>
      <c r="BH81" s="14"/>
      <c r="BI81" s="14"/>
      <c r="BJ81" s="50"/>
      <c r="BK81" s="18">
        <f t="shared" si="5"/>
        <v>13333.333333333334</v>
      </c>
      <c r="BL81" s="18">
        <f t="shared" si="6"/>
        <v>0</v>
      </c>
      <c r="BM81" s="18">
        <f t="shared" si="7"/>
        <v>13333.333333333334</v>
      </c>
      <c r="BN81" s="51" t="s">
        <v>309</v>
      </c>
    </row>
    <row r="82" spans="1:66" x14ac:dyDescent="0.25">
      <c r="A82" s="7">
        <v>31</v>
      </c>
      <c r="B82" s="7">
        <v>1</v>
      </c>
      <c r="C82" s="11" t="s">
        <v>38</v>
      </c>
      <c r="D82" s="3" t="s">
        <v>72</v>
      </c>
      <c r="E82" s="3" t="s">
        <v>73</v>
      </c>
      <c r="F82" s="3" t="s">
        <v>74</v>
      </c>
      <c r="G82" s="3" t="s">
        <v>75</v>
      </c>
      <c r="H82" s="3" t="s">
        <v>76</v>
      </c>
      <c r="I82" s="3" t="s">
        <v>290</v>
      </c>
      <c r="J82" s="3" t="s">
        <v>186</v>
      </c>
      <c r="K82" s="14" t="s">
        <v>155</v>
      </c>
      <c r="L82" s="3"/>
      <c r="M82" s="3" t="s">
        <v>40</v>
      </c>
      <c r="N82" s="3" t="s">
        <v>39</v>
      </c>
      <c r="O82" s="3" t="s">
        <v>41</v>
      </c>
      <c r="P82" s="3" t="s">
        <v>45</v>
      </c>
      <c r="Q82" s="3" t="s">
        <v>77</v>
      </c>
      <c r="R82" s="3">
        <v>0</v>
      </c>
      <c r="S82" s="3">
        <v>0</v>
      </c>
      <c r="T82" s="3">
        <v>0</v>
      </c>
      <c r="U82" s="3">
        <v>0</v>
      </c>
      <c r="V82" s="15">
        <v>10.3</v>
      </c>
      <c r="W82" s="14">
        <v>16</v>
      </c>
      <c r="X82" s="14" t="s">
        <v>42</v>
      </c>
      <c r="Y82" s="4"/>
      <c r="Z82" s="4"/>
      <c r="AA82" s="4"/>
      <c r="AB82" s="4"/>
      <c r="AC82" s="4"/>
      <c r="AD82" s="5"/>
      <c r="AE82" s="6"/>
      <c r="AF82" s="6"/>
      <c r="AG82" s="14">
        <v>90888870</v>
      </c>
      <c r="AH82" s="14" t="s">
        <v>215</v>
      </c>
      <c r="AI82" s="10" t="s">
        <v>102</v>
      </c>
      <c r="AJ82" s="16" t="s">
        <v>125</v>
      </c>
      <c r="AK82" s="16" t="s">
        <v>43</v>
      </c>
      <c r="AL82" s="16">
        <v>936</v>
      </c>
      <c r="AM82" s="16">
        <v>0</v>
      </c>
      <c r="AN82" s="16">
        <v>0</v>
      </c>
      <c r="AO82" s="16">
        <v>0</v>
      </c>
      <c r="AP82" s="16">
        <v>936</v>
      </c>
      <c r="AQ82" s="16">
        <v>1872</v>
      </c>
      <c r="AR82" s="17">
        <v>1</v>
      </c>
      <c r="AS82" s="17">
        <v>0</v>
      </c>
      <c r="AT82" s="17">
        <v>0</v>
      </c>
      <c r="AU82" s="17">
        <v>0</v>
      </c>
      <c r="AV82" s="18">
        <f t="shared" si="3"/>
        <v>7299.5999999999995</v>
      </c>
      <c r="AW82" s="18">
        <f t="shared" si="4"/>
        <v>13542.599999999999</v>
      </c>
      <c r="AX82" s="14">
        <v>0</v>
      </c>
      <c r="AY82" s="14">
        <v>0</v>
      </c>
      <c r="AZ82" s="18">
        <f t="shared" si="8"/>
        <v>20842.199999999997</v>
      </c>
      <c r="BA82" s="26">
        <f>12166*1.2</f>
        <v>14599.199999999999</v>
      </c>
      <c r="BB82" s="26">
        <f>22571*1.2</f>
        <v>27085.200000000001</v>
      </c>
      <c r="BC82" s="14">
        <v>0</v>
      </c>
      <c r="BD82" s="14">
        <v>0</v>
      </c>
      <c r="BE82" s="14">
        <f t="shared" si="9"/>
        <v>41684.400000000001</v>
      </c>
      <c r="BF82" s="19">
        <f>[1]Analiza!$BG132*AR82</f>
        <v>0</v>
      </c>
      <c r="BG82" s="14">
        <f>[1]Analiza!$BG132*AS82</f>
        <v>0</v>
      </c>
      <c r="BH82" s="14">
        <f>[1]Analiza!$BG132*AT82</f>
        <v>0</v>
      </c>
      <c r="BI82" s="14">
        <f>[1]Analiza!$BG132*AU82</f>
        <v>0</v>
      </c>
      <c r="BJ82" s="50">
        <f t="shared" si="2"/>
        <v>0</v>
      </c>
      <c r="BK82" s="18">
        <f t="shared" si="5"/>
        <v>4866.3999999999996</v>
      </c>
      <c r="BL82" s="18">
        <f t="shared" si="6"/>
        <v>9028.4</v>
      </c>
      <c r="BM82" s="18">
        <f t="shared" si="7"/>
        <v>13894.8</v>
      </c>
      <c r="BN82" s="51" t="s">
        <v>309</v>
      </c>
    </row>
    <row r="83" spans="1:66" x14ac:dyDescent="0.25">
      <c r="A83" s="7">
        <v>32</v>
      </c>
      <c r="B83" s="7">
        <v>1</v>
      </c>
      <c r="C83" s="11" t="s">
        <v>38</v>
      </c>
      <c r="D83" s="3" t="s">
        <v>72</v>
      </c>
      <c r="E83" s="3" t="s">
        <v>73</v>
      </c>
      <c r="F83" s="3" t="s">
        <v>74</v>
      </c>
      <c r="G83" s="3" t="s">
        <v>75</v>
      </c>
      <c r="H83" s="3" t="s">
        <v>76</v>
      </c>
      <c r="I83" s="3" t="s">
        <v>262</v>
      </c>
      <c r="J83" s="3" t="s">
        <v>186</v>
      </c>
      <c r="K83" s="14" t="s">
        <v>128</v>
      </c>
      <c r="L83" s="3"/>
      <c r="M83" s="3" t="s">
        <v>40</v>
      </c>
      <c r="N83" s="3" t="s">
        <v>39</v>
      </c>
      <c r="O83" s="3" t="s">
        <v>41</v>
      </c>
      <c r="P83" s="3" t="s">
        <v>45</v>
      </c>
      <c r="Q83" s="3" t="s">
        <v>77</v>
      </c>
      <c r="R83" s="3">
        <v>0</v>
      </c>
      <c r="S83" s="3">
        <v>0</v>
      </c>
      <c r="T83" s="3">
        <v>0</v>
      </c>
      <c r="U83" s="3">
        <v>0</v>
      </c>
      <c r="V83" s="15">
        <v>3.9</v>
      </c>
      <c r="W83" s="14">
        <v>6</v>
      </c>
      <c r="X83" s="14" t="s">
        <v>42</v>
      </c>
      <c r="Y83" s="4"/>
      <c r="Z83" s="4"/>
      <c r="AA83" s="4"/>
      <c r="AB83" s="4"/>
      <c r="AC83" s="4"/>
      <c r="AD83" s="5"/>
      <c r="AE83" s="6"/>
      <c r="AF83" s="6"/>
      <c r="AG83" s="10">
        <v>83588316</v>
      </c>
      <c r="AH83" s="14" t="s">
        <v>214</v>
      </c>
      <c r="AI83" s="10" t="s">
        <v>103</v>
      </c>
      <c r="AJ83" s="16" t="s">
        <v>125</v>
      </c>
      <c r="AK83" s="16" t="s">
        <v>43</v>
      </c>
      <c r="AL83" s="16">
        <v>1404</v>
      </c>
      <c r="AM83" s="16">
        <v>0</v>
      </c>
      <c r="AN83" s="16">
        <v>0</v>
      </c>
      <c r="AO83" s="16">
        <v>0</v>
      </c>
      <c r="AP83" s="16">
        <v>1404</v>
      </c>
      <c r="AQ83" s="16">
        <v>2808</v>
      </c>
      <c r="AR83" s="17">
        <v>1</v>
      </c>
      <c r="AS83" s="17">
        <v>0</v>
      </c>
      <c r="AT83" s="17">
        <v>0</v>
      </c>
      <c r="AU83" s="17">
        <v>0</v>
      </c>
      <c r="AV83" s="18">
        <f t="shared" si="3"/>
        <v>348</v>
      </c>
      <c r="AW83" s="18">
        <f t="shared" si="4"/>
        <v>720</v>
      </c>
      <c r="AX83" s="14">
        <v>0</v>
      </c>
      <c r="AY83" s="14">
        <v>0</v>
      </c>
      <c r="AZ83" s="18">
        <f t="shared" si="8"/>
        <v>1068</v>
      </c>
      <c r="BA83" s="26">
        <f>580*1.2</f>
        <v>696</v>
      </c>
      <c r="BB83" s="26">
        <f>1200*1.2</f>
        <v>1440</v>
      </c>
      <c r="BC83" s="14">
        <v>0</v>
      </c>
      <c r="BD83" s="14">
        <v>0</v>
      </c>
      <c r="BE83" s="14">
        <f t="shared" si="9"/>
        <v>2136</v>
      </c>
      <c r="BF83" s="19">
        <f>[1]Analiza!$BG133*AR83</f>
        <v>0</v>
      </c>
      <c r="BG83" s="14">
        <f>[1]Analiza!$BG133*AS83</f>
        <v>0</v>
      </c>
      <c r="BH83" s="14">
        <f>[1]Analiza!$BG133*AT83</f>
        <v>0</v>
      </c>
      <c r="BI83" s="14">
        <f>[1]Analiza!$BG133*AU83</f>
        <v>0</v>
      </c>
      <c r="BJ83" s="50">
        <f t="shared" si="2"/>
        <v>0</v>
      </c>
      <c r="BK83" s="18">
        <f t="shared" si="5"/>
        <v>232</v>
      </c>
      <c r="BL83" s="18">
        <f t="shared" si="6"/>
        <v>480</v>
      </c>
      <c r="BM83" s="18">
        <f t="shared" si="7"/>
        <v>712</v>
      </c>
      <c r="BN83" s="51" t="s">
        <v>309</v>
      </c>
    </row>
    <row r="84" spans="1:66" x14ac:dyDescent="0.25">
      <c r="A84" s="7">
        <v>33</v>
      </c>
      <c r="B84" s="7">
        <v>1</v>
      </c>
      <c r="C84" s="11" t="s">
        <v>38</v>
      </c>
      <c r="D84" s="3" t="s">
        <v>72</v>
      </c>
      <c r="E84" s="3" t="s">
        <v>73</v>
      </c>
      <c r="F84" s="3" t="s">
        <v>74</v>
      </c>
      <c r="G84" s="3" t="s">
        <v>75</v>
      </c>
      <c r="H84" s="3" t="s">
        <v>76</v>
      </c>
      <c r="I84" s="3" t="s">
        <v>291</v>
      </c>
      <c r="J84" s="3" t="s">
        <v>186</v>
      </c>
      <c r="K84" s="14" t="s">
        <v>196</v>
      </c>
      <c r="L84" s="3" t="s">
        <v>194</v>
      </c>
      <c r="M84" s="3" t="s">
        <v>40</v>
      </c>
      <c r="N84" s="3" t="s">
        <v>39</v>
      </c>
      <c r="O84" s="3" t="s">
        <v>41</v>
      </c>
      <c r="P84" s="3" t="s">
        <v>45</v>
      </c>
      <c r="Q84" s="3" t="s">
        <v>77</v>
      </c>
      <c r="R84" s="3">
        <v>0</v>
      </c>
      <c r="S84" s="3">
        <v>0</v>
      </c>
      <c r="T84" s="3">
        <v>0</v>
      </c>
      <c r="U84" s="3">
        <v>0</v>
      </c>
      <c r="V84" s="15">
        <v>20</v>
      </c>
      <c r="W84" s="14">
        <v>32</v>
      </c>
      <c r="X84" s="14" t="s">
        <v>42</v>
      </c>
      <c r="Y84" s="4"/>
      <c r="Z84" s="4"/>
      <c r="AA84" s="4"/>
      <c r="AB84" s="4"/>
      <c r="AC84" s="4"/>
      <c r="AD84" s="5"/>
      <c r="AE84" s="6"/>
      <c r="AF84" s="6"/>
      <c r="AG84" s="10">
        <v>90888866</v>
      </c>
      <c r="AH84" s="14" t="s">
        <v>220</v>
      </c>
      <c r="AI84" s="10" t="s">
        <v>104</v>
      </c>
      <c r="AJ84" s="16" t="s">
        <v>125</v>
      </c>
      <c r="AK84" s="16" t="s">
        <v>43</v>
      </c>
      <c r="AL84" s="16">
        <v>250</v>
      </c>
      <c r="AM84" s="16">
        <v>0</v>
      </c>
      <c r="AN84" s="16">
        <v>0</v>
      </c>
      <c r="AO84" s="16">
        <v>0</v>
      </c>
      <c r="AP84" s="16">
        <v>250</v>
      </c>
      <c r="AQ84" s="16">
        <v>500</v>
      </c>
      <c r="AR84" s="17">
        <v>1</v>
      </c>
      <c r="AS84" s="17">
        <v>0</v>
      </c>
      <c r="AT84" s="17">
        <v>0</v>
      </c>
      <c r="AU84" s="17">
        <v>0</v>
      </c>
      <c r="AV84" s="18">
        <f t="shared" si="3"/>
        <v>5059.2</v>
      </c>
      <c r="AW84" s="18">
        <f t="shared" si="4"/>
        <v>7862.4</v>
      </c>
      <c r="AX84" s="14">
        <v>0</v>
      </c>
      <c r="AY84" s="14">
        <v>0</v>
      </c>
      <c r="AZ84" s="18">
        <f t="shared" si="8"/>
        <v>12921.599999999999</v>
      </c>
      <c r="BA84" s="26">
        <f>8432*1.2</f>
        <v>10118.4</v>
      </c>
      <c r="BB84" s="26">
        <f>13104*1.2</f>
        <v>15724.8</v>
      </c>
      <c r="BC84" s="14">
        <v>0</v>
      </c>
      <c r="BD84" s="14">
        <v>0</v>
      </c>
      <c r="BE84" s="14">
        <f t="shared" si="9"/>
        <v>25843.199999999997</v>
      </c>
      <c r="BF84" s="19">
        <f>[1]Analiza!$BG134*AR84</f>
        <v>0</v>
      </c>
      <c r="BG84" s="14">
        <f>[1]Analiza!$BG134*AS84</f>
        <v>0</v>
      </c>
      <c r="BH84" s="14">
        <f>[1]Analiza!$BG134*AT84</f>
        <v>0</v>
      </c>
      <c r="BI84" s="14">
        <f>[1]Analiza!$BG134*AU84</f>
        <v>0</v>
      </c>
      <c r="BJ84" s="50">
        <f t="shared" si="2"/>
        <v>0</v>
      </c>
      <c r="BK84" s="18">
        <f t="shared" si="5"/>
        <v>3372.7999999999997</v>
      </c>
      <c r="BL84" s="18">
        <f t="shared" si="6"/>
        <v>5241.5999999999995</v>
      </c>
      <c r="BM84" s="18">
        <f t="shared" si="7"/>
        <v>8614.4</v>
      </c>
      <c r="BN84" s="51" t="s">
        <v>309</v>
      </c>
    </row>
    <row r="85" spans="1:66" x14ac:dyDescent="0.25">
      <c r="A85" s="7">
        <v>34</v>
      </c>
      <c r="B85" s="7">
        <v>1</v>
      </c>
      <c r="C85" s="11" t="s">
        <v>38</v>
      </c>
      <c r="D85" s="3" t="s">
        <v>72</v>
      </c>
      <c r="E85" s="3" t="s">
        <v>73</v>
      </c>
      <c r="F85" s="3" t="s">
        <v>74</v>
      </c>
      <c r="G85" s="3" t="s">
        <v>75</v>
      </c>
      <c r="H85" s="3" t="s">
        <v>76</v>
      </c>
      <c r="I85" s="3" t="s">
        <v>292</v>
      </c>
      <c r="J85" s="3" t="s">
        <v>186</v>
      </c>
      <c r="K85" s="14" t="s">
        <v>148</v>
      </c>
      <c r="L85" s="3" t="s">
        <v>47</v>
      </c>
      <c r="M85" s="3" t="s">
        <v>40</v>
      </c>
      <c r="N85" s="3" t="s">
        <v>39</v>
      </c>
      <c r="O85" s="3" t="s">
        <v>41</v>
      </c>
      <c r="P85" s="3" t="s">
        <v>45</v>
      </c>
      <c r="Q85" s="3" t="s">
        <v>77</v>
      </c>
      <c r="R85" s="3">
        <v>0</v>
      </c>
      <c r="S85" s="3">
        <v>0</v>
      </c>
      <c r="T85" s="3">
        <v>0</v>
      </c>
      <c r="U85" s="3">
        <v>0</v>
      </c>
      <c r="V85" s="15">
        <v>20</v>
      </c>
      <c r="W85" s="14">
        <v>40</v>
      </c>
      <c r="X85" s="14" t="s">
        <v>42</v>
      </c>
      <c r="Y85" s="4"/>
      <c r="Z85" s="4"/>
      <c r="AA85" s="4"/>
      <c r="AB85" s="4"/>
      <c r="AC85" s="4"/>
      <c r="AD85" s="5"/>
      <c r="AE85" s="6"/>
      <c r="AF85" s="6"/>
      <c r="AG85" s="10">
        <v>90791153</v>
      </c>
      <c r="AH85" s="14" t="s">
        <v>221</v>
      </c>
      <c r="AI85" s="10" t="s">
        <v>105</v>
      </c>
      <c r="AJ85" s="16" t="s">
        <v>125</v>
      </c>
      <c r="AK85" s="16" t="s">
        <v>43</v>
      </c>
      <c r="AL85" s="16">
        <v>90</v>
      </c>
      <c r="AM85" s="16">
        <v>0</v>
      </c>
      <c r="AN85" s="16">
        <v>0</v>
      </c>
      <c r="AO85" s="16">
        <v>0</v>
      </c>
      <c r="AP85" s="16">
        <v>90</v>
      </c>
      <c r="AQ85" s="16">
        <v>180</v>
      </c>
      <c r="AR85" s="17">
        <v>1</v>
      </c>
      <c r="AS85" s="17">
        <v>0</v>
      </c>
      <c r="AT85" s="17">
        <v>0</v>
      </c>
      <c r="AU85" s="17">
        <v>0</v>
      </c>
      <c r="AV85" s="18">
        <f t="shared" si="3"/>
        <v>20037.599999999999</v>
      </c>
      <c r="AW85" s="18">
        <f t="shared" si="4"/>
        <v>28412.399999999998</v>
      </c>
      <c r="AX85" s="14">
        <v>0</v>
      </c>
      <c r="AY85" s="14">
        <v>0</v>
      </c>
      <c r="AZ85" s="18">
        <f t="shared" si="8"/>
        <v>48450</v>
      </c>
      <c r="BA85" s="26">
        <f>33396*1.2</f>
        <v>40075.199999999997</v>
      </c>
      <c r="BB85" s="26">
        <f>47354*1.2</f>
        <v>56824.799999999996</v>
      </c>
      <c r="BC85" s="14">
        <v>0</v>
      </c>
      <c r="BD85" s="14">
        <v>0</v>
      </c>
      <c r="BE85" s="14">
        <f t="shared" si="9"/>
        <v>96900</v>
      </c>
      <c r="BF85" s="19">
        <f>[1]Analiza!$BG135*AR85</f>
        <v>0</v>
      </c>
      <c r="BG85" s="14">
        <f>[1]Analiza!$BG135*AS85</f>
        <v>0</v>
      </c>
      <c r="BH85" s="14">
        <f>[1]Analiza!$BG135*AT85</f>
        <v>0</v>
      </c>
      <c r="BI85" s="14">
        <f>[1]Analiza!$BG135*AU85</f>
        <v>0</v>
      </c>
      <c r="BJ85" s="50">
        <f t="shared" si="2"/>
        <v>0</v>
      </c>
      <c r="BK85" s="18">
        <f t="shared" si="5"/>
        <v>13358.4</v>
      </c>
      <c r="BL85" s="18">
        <f t="shared" si="6"/>
        <v>18941.599999999999</v>
      </c>
      <c r="BM85" s="18">
        <f t="shared" si="7"/>
        <v>32300</v>
      </c>
      <c r="BN85" s="51" t="s">
        <v>309</v>
      </c>
    </row>
    <row r="86" spans="1:66" x14ac:dyDescent="0.25">
      <c r="A86" s="7">
        <v>35</v>
      </c>
      <c r="B86" s="7">
        <v>1</v>
      </c>
      <c r="C86" s="11" t="s">
        <v>38</v>
      </c>
      <c r="D86" s="3" t="s">
        <v>72</v>
      </c>
      <c r="E86" s="3" t="s">
        <v>73</v>
      </c>
      <c r="F86" s="3" t="s">
        <v>74</v>
      </c>
      <c r="G86" s="3" t="s">
        <v>75</v>
      </c>
      <c r="H86" s="3" t="s">
        <v>76</v>
      </c>
      <c r="I86" s="3" t="s">
        <v>293</v>
      </c>
      <c r="J86" s="3" t="s">
        <v>186</v>
      </c>
      <c r="K86" s="14" t="s">
        <v>197</v>
      </c>
      <c r="L86" s="3" t="s">
        <v>57</v>
      </c>
      <c r="M86" s="3" t="s">
        <v>40</v>
      </c>
      <c r="N86" s="3" t="s">
        <v>39</v>
      </c>
      <c r="O86" s="3" t="s">
        <v>41</v>
      </c>
      <c r="P86" s="3" t="s">
        <v>45</v>
      </c>
      <c r="Q86" s="3" t="s">
        <v>77</v>
      </c>
      <c r="R86" s="3">
        <v>0</v>
      </c>
      <c r="S86" s="3">
        <v>0</v>
      </c>
      <c r="T86" s="3">
        <v>0</v>
      </c>
      <c r="U86" s="3">
        <v>0</v>
      </c>
      <c r="V86" s="15">
        <v>6</v>
      </c>
      <c r="W86" s="14">
        <v>63</v>
      </c>
      <c r="X86" s="14" t="s">
        <v>42</v>
      </c>
      <c r="Y86" s="4"/>
      <c r="Z86" s="4"/>
      <c r="AA86" s="4"/>
      <c r="AB86" s="4"/>
      <c r="AC86" s="4"/>
      <c r="AD86" s="5"/>
      <c r="AE86" s="6"/>
      <c r="AF86" s="6"/>
      <c r="AG86" s="10">
        <v>90888888</v>
      </c>
      <c r="AH86" s="14" t="s">
        <v>222</v>
      </c>
      <c r="AI86" s="10" t="s">
        <v>106</v>
      </c>
      <c r="AJ86" s="16" t="s">
        <v>125</v>
      </c>
      <c r="AK86" s="16" t="s">
        <v>43</v>
      </c>
      <c r="AL86" s="16">
        <v>1520</v>
      </c>
      <c r="AM86" s="16">
        <v>1128</v>
      </c>
      <c r="AN86" s="16">
        <v>0</v>
      </c>
      <c r="AO86" s="16">
        <v>0</v>
      </c>
      <c r="AP86" s="16">
        <v>2648</v>
      </c>
      <c r="AQ86" s="16">
        <v>5296</v>
      </c>
      <c r="AR86" s="17">
        <v>0.57401812688821752</v>
      </c>
      <c r="AS86" s="17">
        <v>0.42598187311178248</v>
      </c>
      <c r="AT86" s="17">
        <v>0</v>
      </c>
      <c r="AU86" s="17">
        <v>0</v>
      </c>
      <c r="AV86" s="18">
        <f t="shared" si="3"/>
        <v>2324.4</v>
      </c>
      <c r="AW86" s="18">
        <f t="shared" si="4"/>
        <v>4153.2</v>
      </c>
      <c r="AX86" s="14">
        <v>0</v>
      </c>
      <c r="AY86" s="14">
        <v>0</v>
      </c>
      <c r="AZ86" s="18">
        <f t="shared" si="8"/>
        <v>6477.6</v>
      </c>
      <c r="BA86" s="26">
        <f>3874*1.2</f>
        <v>4648.8</v>
      </c>
      <c r="BB86" s="26">
        <f>6922*1.2</f>
        <v>8306.4</v>
      </c>
      <c r="BC86" s="14">
        <v>0</v>
      </c>
      <c r="BD86" s="14">
        <v>0</v>
      </c>
      <c r="BE86" s="14">
        <f t="shared" si="9"/>
        <v>12955.2</v>
      </c>
      <c r="BF86" s="19">
        <f>[1]Analiza!$BG136*AR86</f>
        <v>0</v>
      </c>
      <c r="BG86" s="14">
        <f>[1]Analiza!$BG136*AS86</f>
        <v>0</v>
      </c>
      <c r="BH86" s="14">
        <f>[1]Analiza!$BG136*AT86</f>
        <v>0</v>
      </c>
      <c r="BI86" s="14">
        <f>[1]Analiza!$BG136*AU86</f>
        <v>0</v>
      </c>
      <c r="BJ86" s="50">
        <f t="shared" si="2"/>
        <v>0</v>
      </c>
      <c r="BK86" s="18">
        <f t="shared" si="5"/>
        <v>1549.6000000000001</v>
      </c>
      <c r="BL86" s="18">
        <f t="shared" si="6"/>
        <v>2768.7999999999997</v>
      </c>
      <c r="BM86" s="18">
        <f t="shared" si="7"/>
        <v>4318.3999999999996</v>
      </c>
      <c r="BN86" s="51" t="s">
        <v>309</v>
      </c>
    </row>
    <row r="87" spans="1:66" x14ac:dyDescent="0.25">
      <c r="A87" s="7">
        <v>36</v>
      </c>
      <c r="B87" s="7">
        <v>1</v>
      </c>
      <c r="C87" s="11" t="s">
        <v>38</v>
      </c>
      <c r="D87" s="3" t="s">
        <v>72</v>
      </c>
      <c r="E87" s="3" t="s">
        <v>73</v>
      </c>
      <c r="F87" s="3" t="s">
        <v>74</v>
      </c>
      <c r="G87" s="3" t="s">
        <v>75</v>
      </c>
      <c r="H87" s="3" t="s">
        <v>76</v>
      </c>
      <c r="I87" s="3" t="s">
        <v>67</v>
      </c>
      <c r="J87" s="3" t="s">
        <v>186</v>
      </c>
      <c r="K87" s="14" t="s">
        <v>198</v>
      </c>
      <c r="L87" s="3" t="s">
        <v>48</v>
      </c>
      <c r="M87" s="3" t="s">
        <v>40</v>
      </c>
      <c r="N87" s="3" t="s">
        <v>39</v>
      </c>
      <c r="O87" s="3" t="s">
        <v>41</v>
      </c>
      <c r="P87" s="3" t="s">
        <v>45</v>
      </c>
      <c r="Q87" s="3" t="s">
        <v>77</v>
      </c>
      <c r="R87" s="3">
        <v>0</v>
      </c>
      <c r="S87" s="3">
        <v>0</v>
      </c>
      <c r="T87" s="3">
        <v>0</v>
      </c>
      <c r="U87" s="3">
        <v>0</v>
      </c>
      <c r="V87" s="15">
        <v>22.5</v>
      </c>
      <c r="W87" s="14">
        <v>35</v>
      </c>
      <c r="X87" s="14" t="s">
        <v>42</v>
      </c>
      <c r="Y87" s="4"/>
      <c r="Z87" s="4"/>
      <c r="AA87" s="4"/>
      <c r="AB87" s="4"/>
      <c r="AC87" s="4"/>
      <c r="AD87" s="5"/>
      <c r="AE87" s="6"/>
      <c r="AF87" s="6"/>
      <c r="AG87" s="10">
        <v>62445916</v>
      </c>
      <c r="AH87" s="14" t="s">
        <v>223</v>
      </c>
      <c r="AI87" s="10" t="s">
        <v>107</v>
      </c>
      <c r="AJ87" s="16" t="s">
        <v>125</v>
      </c>
      <c r="AK87" s="16" t="s">
        <v>43</v>
      </c>
      <c r="AL87" s="16">
        <v>237</v>
      </c>
      <c r="AM87" s="16">
        <v>0</v>
      </c>
      <c r="AN87" s="16">
        <v>0</v>
      </c>
      <c r="AO87" s="16">
        <v>0</v>
      </c>
      <c r="AP87" s="16">
        <v>237</v>
      </c>
      <c r="AQ87" s="16">
        <v>474</v>
      </c>
      <c r="AR87" s="17">
        <v>1</v>
      </c>
      <c r="AS87" s="17">
        <v>0</v>
      </c>
      <c r="AT87" s="17">
        <v>0</v>
      </c>
      <c r="AU87" s="17">
        <v>0</v>
      </c>
      <c r="AV87" s="18">
        <f t="shared" si="3"/>
        <v>13906.8</v>
      </c>
      <c r="AW87" s="18">
        <f t="shared" si="4"/>
        <v>17755.8</v>
      </c>
      <c r="AX87" s="14">
        <v>0</v>
      </c>
      <c r="AY87" s="14">
        <v>0</v>
      </c>
      <c r="AZ87" s="18">
        <f t="shared" si="8"/>
        <v>31662.6</v>
      </c>
      <c r="BA87" s="26">
        <f>23178*1.2</f>
        <v>27813.599999999999</v>
      </c>
      <c r="BB87" s="26">
        <f>29593*1.2</f>
        <v>35511.599999999999</v>
      </c>
      <c r="BC87" s="14">
        <v>0</v>
      </c>
      <c r="BD87" s="14">
        <v>0</v>
      </c>
      <c r="BE87" s="14">
        <f t="shared" si="9"/>
        <v>63325.2</v>
      </c>
      <c r="BF87" s="19">
        <f>[1]Analiza!$BG137*AR87</f>
        <v>0</v>
      </c>
      <c r="BG87" s="14">
        <f>[1]Analiza!$BG137*AS87</f>
        <v>0</v>
      </c>
      <c r="BH87" s="14">
        <f>[1]Analiza!$BG137*AT87</f>
        <v>0</v>
      </c>
      <c r="BI87" s="14">
        <f>[1]Analiza!$BG137*AU87</f>
        <v>0</v>
      </c>
      <c r="BJ87" s="50">
        <f t="shared" si="2"/>
        <v>0</v>
      </c>
      <c r="BK87" s="18">
        <f t="shared" si="5"/>
        <v>9271.1999999999989</v>
      </c>
      <c r="BL87" s="18">
        <f t="shared" si="6"/>
        <v>11837.199999999999</v>
      </c>
      <c r="BM87" s="18">
        <f t="shared" si="7"/>
        <v>21108.399999999998</v>
      </c>
      <c r="BN87" s="51" t="s">
        <v>309</v>
      </c>
    </row>
    <row r="88" spans="1:66" x14ac:dyDescent="0.25">
      <c r="A88" s="7">
        <v>37</v>
      </c>
      <c r="B88" s="7">
        <v>1</v>
      </c>
      <c r="C88" s="11" t="s">
        <v>38</v>
      </c>
      <c r="D88" s="3" t="s">
        <v>72</v>
      </c>
      <c r="E88" s="3" t="s">
        <v>73</v>
      </c>
      <c r="F88" s="3" t="s">
        <v>74</v>
      </c>
      <c r="G88" s="3" t="s">
        <v>75</v>
      </c>
      <c r="H88" s="3" t="s">
        <v>76</v>
      </c>
      <c r="I88" s="3" t="s">
        <v>294</v>
      </c>
      <c r="J88" s="3" t="s">
        <v>186</v>
      </c>
      <c r="K88" s="14" t="s">
        <v>199</v>
      </c>
      <c r="L88" s="3" t="s">
        <v>50</v>
      </c>
      <c r="M88" s="3" t="s">
        <v>40</v>
      </c>
      <c r="N88" s="3" t="s">
        <v>39</v>
      </c>
      <c r="O88" s="3" t="s">
        <v>41</v>
      </c>
      <c r="P88" s="3" t="s">
        <v>45</v>
      </c>
      <c r="Q88" s="3" t="s">
        <v>77</v>
      </c>
      <c r="R88" s="3">
        <v>0</v>
      </c>
      <c r="S88" s="3">
        <v>0</v>
      </c>
      <c r="T88" s="3">
        <v>0</v>
      </c>
      <c r="U88" s="3">
        <v>0</v>
      </c>
      <c r="V88" s="15">
        <v>8.7000000000000011</v>
      </c>
      <c r="W88" s="14">
        <v>35</v>
      </c>
      <c r="X88" s="14" t="s">
        <v>42</v>
      </c>
      <c r="Y88" s="4"/>
      <c r="Z88" s="4"/>
      <c r="AA88" s="4"/>
      <c r="AB88" s="4"/>
      <c r="AC88" s="4"/>
      <c r="AD88" s="5"/>
      <c r="AE88" s="6"/>
      <c r="AF88" s="6"/>
      <c r="AG88" s="10" t="s">
        <v>151</v>
      </c>
      <c r="AH88" s="14" t="s">
        <v>224</v>
      </c>
      <c r="AI88" s="10" t="s">
        <v>108</v>
      </c>
      <c r="AJ88" s="16" t="s">
        <v>125</v>
      </c>
      <c r="AK88" s="16" t="s">
        <v>43</v>
      </c>
      <c r="AL88" s="16">
        <v>10980</v>
      </c>
      <c r="AM88" s="16">
        <v>0</v>
      </c>
      <c r="AN88" s="16">
        <v>0</v>
      </c>
      <c r="AO88" s="16">
        <v>0</v>
      </c>
      <c r="AP88" s="16">
        <v>10980</v>
      </c>
      <c r="AQ88" s="16">
        <v>21960</v>
      </c>
      <c r="AR88" s="17">
        <v>1</v>
      </c>
      <c r="AS88" s="17">
        <v>0</v>
      </c>
      <c r="AT88" s="17">
        <v>0</v>
      </c>
      <c r="AU88" s="17">
        <v>0</v>
      </c>
      <c r="AV88" s="18">
        <f t="shared" si="3"/>
        <v>3813.6000000000004</v>
      </c>
      <c r="AW88" s="18">
        <f t="shared" si="4"/>
        <v>5987.4</v>
      </c>
      <c r="AX88" s="14">
        <v>0</v>
      </c>
      <c r="AY88" s="14">
        <v>0</v>
      </c>
      <c r="AZ88" s="18">
        <f t="shared" si="8"/>
        <v>9801</v>
      </c>
      <c r="BA88" s="26">
        <f>6356*1.2</f>
        <v>7627.2</v>
      </c>
      <c r="BB88" s="26">
        <f>9979*1.2</f>
        <v>11974.8</v>
      </c>
      <c r="BC88" s="14">
        <v>0</v>
      </c>
      <c r="BD88" s="14">
        <v>0</v>
      </c>
      <c r="BE88" s="14">
        <f t="shared" si="9"/>
        <v>19602</v>
      </c>
      <c r="BF88" s="19">
        <f>[1]Analiza!$BG138*AR88</f>
        <v>0</v>
      </c>
      <c r="BG88" s="14">
        <f>[1]Analiza!$BG138*AS88</f>
        <v>0</v>
      </c>
      <c r="BH88" s="14">
        <f>[1]Analiza!$BG138*AT88</f>
        <v>0</v>
      </c>
      <c r="BI88" s="14">
        <f>[1]Analiza!$BG138*AU88</f>
        <v>0</v>
      </c>
      <c r="BJ88" s="50">
        <f t="shared" si="2"/>
        <v>0</v>
      </c>
      <c r="BK88" s="18">
        <f t="shared" si="5"/>
        <v>2542.4</v>
      </c>
      <c r="BL88" s="18">
        <f t="shared" si="6"/>
        <v>3991.6</v>
      </c>
      <c r="BM88" s="18">
        <f t="shared" si="7"/>
        <v>6534</v>
      </c>
      <c r="BN88" s="51" t="s">
        <v>309</v>
      </c>
    </row>
    <row r="89" spans="1:66" x14ac:dyDescent="0.25">
      <c r="A89" s="7">
        <v>38</v>
      </c>
      <c r="B89" s="7">
        <v>1</v>
      </c>
      <c r="C89" s="11" t="s">
        <v>38</v>
      </c>
      <c r="D89" s="3" t="s">
        <v>72</v>
      </c>
      <c r="E89" s="3" t="s">
        <v>73</v>
      </c>
      <c r="F89" s="3" t="s">
        <v>74</v>
      </c>
      <c r="G89" s="3" t="s">
        <v>75</v>
      </c>
      <c r="H89" s="3" t="s">
        <v>76</v>
      </c>
      <c r="I89" s="3" t="s">
        <v>295</v>
      </c>
      <c r="J89" s="3" t="s">
        <v>186</v>
      </c>
      <c r="K89" s="14" t="s">
        <v>199</v>
      </c>
      <c r="L89" s="3" t="s">
        <v>61</v>
      </c>
      <c r="M89" s="3" t="s">
        <v>40</v>
      </c>
      <c r="N89" s="3" t="s">
        <v>39</v>
      </c>
      <c r="O89" s="3" t="s">
        <v>41</v>
      </c>
      <c r="P89" s="3" t="s">
        <v>45</v>
      </c>
      <c r="Q89" s="3" t="s">
        <v>77</v>
      </c>
      <c r="R89" s="3">
        <v>0</v>
      </c>
      <c r="S89" s="3">
        <v>0</v>
      </c>
      <c r="T89" s="3">
        <v>0</v>
      </c>
      <c r="U89" s="3">
        <v>0</v>
      </c>
      <c r="V89" s="15">
        <v>4</v>
      </c>
      <c r="W89" s="14">
        <v>63</v>
      </c>
      <c r="X89" s="14" t="s">
        <v>42</v>
      </c>
      <c r="Y89" s="4"/>
      <c r="Z89" s="4"/>
      <c r="AA89" s="4"/>
      <c r="AB89" s="4"/>
      <c r="AC89" s="4"/>
      <c r="AD89" s="5"/>
      <c r="AE89" s="6"/>
      <c r="AF89" s="6"/>
      <c r="AG89" s="10">
        <v>90888887</v>
      </c>
      <c r="AH89" s="14" t="s">
        <v>225</v>
      </c>
      <c r="AI89" s="10" t="s">
        <v>109</v>
      </c>
      <c r="AJ89" s="16" t="s">
        <v>125</v>
      </c>
      <c r="AK89" s="16" t="s">
        <v>43</v>
      </c>
      <c r="AL89" s="16">
        <v>26665</v>
      </c>
      <c r="AM89" s="16">
        <v>55908</v>
      </c>
      <c r="AN89" s="16">
        <v>0</v>
      </c>
      <c r="AO89" s="16">
        <v>0</v>
      </c>
      <c r="AP89" s="16">
        <v>82573</v>
      </c>
      <c r="AQ89" s="16">
        <v>165146</v>
      </c>
      <c r="AR89" s="17">
        <v>0.32292638029380066</v>
      </c>
      <c r="AS89" s="17">
        <v>0.67707361970619939</v>
      </c>
      <c r="AT89" s="17">
        <v>0</v>
      </c>
      <c r="AU89" s="17">
        <v>0</v>
      </c>
      <c r="AV89" s="18">
        <f t="shared" si="3"/>
        <v>8281.1999999999989</v>
      </c>
      <c r="AW89" s="18">
        <f t="shared" si="4"/>
        <v>12028.8</v>
      </c>
      <c r="AX89" s="14">
        <v>0</v>
      </c>
      <c r="AY89" s="14">
        <v>0</v>
      </c>
      <c r="AZ89" s="18">
        <f t="shared" si="8"/>
        <v>20310</v>
      </c>
      <c r="BA89" s="26">
        <f>13802*1.2</f>
        <v>16562.399999999998</v>
      </c>
      <c r="BB89" s="26">
        <f>20048*1.2</f>
        <v>24057.599999999999</v>
      </c>
      <c r="BC89" s="14">
        <v>0</v>
      </c>
      <c r="BD89" s="14">
        <v>0</v>
      </c>
      <c r="BE89" s="14">
        <f t="shared" si="9"/>
        <v>40620</v>
      </c>
      <c r="BF89" s="19">
        <f>[1]Analiza!$BG139*AR89</f>
        <v>0</v>
      </c>
      <c r="BG89" s="14">
        <f>[1]Analiza!$BG139*AS89</f>
        <v>0</v>
      </c>
      <c r="BH89" s="14">
        <f>[1]Analiza!$BG139*AT89</f>
        <v>0</v>
      </c>
      <c r="BI89" s="14">
        <f>[1]Analiza!$BG139*AU89</f>
        <v>0</v>
      </c>
      <c r="BJ89" s="50">
        <f t="shared" si="2"/>
        <v>0</v>
      </c>
      <c r="BK89" s="18">
        <f t="shared" si="5"/>
        <v>5520.7999999999993</v>
      </c>
      <c r="BL89" s="18">
        <f t="shared" si="6"/>
        <v>8019.2</v>
      </c>
      <c r="BM89" s="18">
        <f t="shared" si="7"/>
        <v>13540</v>
      </c>
      <c r="BN89" s="51" t="s">
        <v>309</v>
      </c>
    </row>
    <row r="90" spans="1:66" x14ac:dyDescent="0.25">
      <c r="A90" s="7">
        <v>39</v>
      </c>
      <c r="B90" s="7">
        <v>1</v>
      </c>
      <c r="C90" s="11" t="s">
        <v>38</v>
      </c>
      <c r="D90" s="3" t="s">
        <v>72</v>
      </c>
      <c r="E90" s="3" t="s">
        <v>73</v>
      </c>
      <c r="F90" s="3" t="s">
        <v>74</v>
      </c>
      <c r="G90" s="3" t="s">
        <v>75</v>
      </c>
      <c r="H90" s="3" t="s">
        <v>76</v>
      </c>
      <c r="I90" s="3" t="s">
        <v>296</v>
      </c>
      <c r="J90" s="3" t="s">
        <v>186</v>
      </c>
      <c r="K90" s="14" t="s">
        <v>200</v>
      </c>
      <c r="L90" s="3" t="s">
        <v>194</v>
      </c>
      <c r="M90" s="3" t="s">
        <v>40</v>
      </c>
      <c r="N90" s="3" t="s">
        <v>39</v>
      </c>
      <c r="O90" s="3" t="s">
        <v>41</v>
      </c>
      <c r="P90" s="3" t="s">
        <v>45</v>
      </c>
      <c r="Q90" s="3" t="s">
        <v>77</v>
      </c>
      <c r="R90" s="3">
        <v>0</v>
      </c>
      <c r="S90" s="3">
        <v>0</v>
      </c>
      <c r="T90" s="3">
        <v>0</v>
      </c>
      <c r="U90" s="3">
        <v>0</v>
      </c>
      <c r="V90" s="15">
        <v>6</v>
      </c>
      <c r="W90" s="14">
        <v>80</v>
      </c>
      <c r="X90" s="14" t="s">
        <v>42</v>
      </c>
      <c r="Y90" s="4"/>
      <c r="Z90" s="4"/>
      <c r="AA90" s="4"/>
      <c r="AB90" s="4"/>
      <c r="AC90" s="4"/>
      <c r="AD90" s="5"/>
      <c r="AE90" s="6"/>
      <c r="AF90" s="6"/>
      <c r="AG90" s="10" t="s">
        <v>152</v>
      </c>
      <c r="AH90" s="14" t="s">
        <v>226</v>
      </c>
      <c r="AI90" s="10" t="s">
        <v>110</v>
      </c>
      <c r="AJ90" s="16" t="s">
        <v>125</v>
      </c>
      <c r="AK90" s="16" t="s">
        <v>43</v>
      </c>
      <c r="AL90" s="16">
        <v>25217</v>
      </c>
      <c r="AM90" s="16">
        <v>54111</v>
      </c>
      <c r="AN90" s="16">
        <v>0</v>
      </c>
      <c r="AO90" s="16">
        <v>0</v>
      </c>
      <c r="AP90" s="16">
        <v>79328</v>
      </c>
      <c r="AQ90" s="16">
        <v>158656</v>
      </c>
      <c r="AR90" s="17">
        <v>0.31788271480435659</v>
      </c>
      <c r="AS90" s="17">
        <v>0.68211728519564341</v>
      </c>
      <c r="AT90" s="17">
        <v>0</v>
      </c>
      <c r="AU90" s="17">
        <v>0</v>
      </c>
      <c r="AV90" s="18">
        <f t="shared" si="3"/>
        <v>5276.4</v>
      </c>
      <c r="AW90" s="18">
        <f t="shared" si="4"/>
        <v>9702.6</v>
      </c>
      <c r="AX90" s="14">
        <v>0</v>
      </c>
      <c r="AY90" s="14">
        <v>0</v>
      </c>
      <c r="AZ90" s="18">
        <f t="shared" si="8"/>
        <v>14979</v>
      </c>
      <c r="BA90" s="26">
        <f>8794*1.2</f>
        <v>10552.8</v>
      </c>
      <c r="BB90" s="26">
        <f>16171*1.2</f>
        <v>19405.2</v>
      </c>
      <c r="BC90" s="14">
        <v>0</v>
      </c>
      <c r="BD90" s="14">
        <v>0</v>
      </c>
      <c r="BE90" s="14">
        <f t="shared" si="9"/>
        <v>29958</v>
      </c>
      <c r="BF90" s="19">
        <f>[1]Analiza!$BG140*AR90</f>
        <v>0</v>
      </c>
      <c r="BG90" s="14">
        <f>[1]Analiza!$BG140*AS90</f>
        <v>0</v>
      </c>
      <c r="BH90" s="14">
        <f>[1]Analiza!$BG140*AT90</f>
        <v>0</v>
      </c>
      <c r="BI90" s="14">
        <f>[1]Analiza!$BG140*AU90</f>
        <v>0</v>
      </c>
      <c r="BJ90" s="50">
        <f t="shared" si="2"/>
        <v>0</v>
      </c>
      <c r="BK90" s="18">
        <f t="shared" si="5"/>
        <v>3517.6</v>
      </c>
      <c r="BL90" s="18">
        <f t="shared" si="6"/>
        <v>6468.4000000000005</v>
      </c>
      <c r="BM90" s="18">
        <f t="shared" si="7"/>
        <v>9986</v>
      </c>
      <c r="BN90" s="51" t="s">
        <v>309</v>
      </c>
    </row>
    <row r="91" spans="1:66" x14ac:dyDescent="0.25">
      <c r="A91" s="7">
        <v>40</v>
      </c>
      <c r="B91" s="7">
        <v>1</v>
      </c>
      <c r="C91" s="11" t="s">
        <v>38</v>
      </c>
      <c r="D91" s="3" t="s">
        <v>72</v>
      </c>
      <c r="E91" s="3" t="s">
        <v>73</v>
      </c>
      <c r="F91" s="3" t="s">
        <v>74</v>
      </c>
      <c r="G91" s="3" t="s">
        <v>75</v>
      </c>
      <c r="H91" s="3" t="s">
        <v>76</v>
      </c>
      <c r="I91" s="3" t="s">
        <v>51</v>
      </c>
      <c r="J91" s="3" t="s">
        <v>186</v>
      </c>
      <c r="K91" s="14" t="s">
        <v>201</v>
      </c>
      <c r="L91" s="3" t="s">
        <v>57</v>
      </c>
      <c r="M91" s="3" t="s">
        <v>40</v>
      </c>
      <c r="N91" s="3" t="s">
        <v>39</v>
      </c>
      <c r="O91" s="3" t="s">
        <v>41</v>
      </c>
      <c r="P91" s="3" t="s">
        <v>45</v>
      </c>
      <c r="Q91" s="3" t="s">
        <v>77</v>
      </c>
      <c r="R91" s="3">
        <v>0</v>
      </c>
      <c r="S91" s="3">
        <v>0</v>
      </c>
      <c r="T91" s="3">
        <v>0</v>
      </c>
      <c r="U91" s="3">
        <v>0</v>
      </c>
      <c r="V91" s="15">
        <v>6</v>
      </c>
      <c r="W91" s="14">
        <v>63</v>
      </c>
      <c r="X91" s="14" t="s">
        <v>42</v>
      </c>
      <c r="Y91" s="4"/>
      <c r="Z91" s="4"/>
      <c r="AA91" s="4"/>
      <c r="AB91" s="4"/>
      <c r="AC91" s="4"/>
      <c r="AD91" s="5"/>
      <c r="AE91" s="6"/>
      <c r="AF91" s="6"/>
      <c r="AG91" s="10">
        <v>90888854</v>
      </c>
      <c r="AH91" s="14" t="s">
        <v>227</v>
      </c>
      <c r="AI91" s="10" t="s">
        <v>111</v>
      </c>
      <c r="AJ91" s="16" t="s">
        <v>125</v>
      </c>
      <c r="AK91" s="16" t="s">
        <v>43</v>
      </c>
      <c r="AL91" s="16">
        <v>5555</v>
      </c>
      <c r="AM91" s="16">
        <v>11414</v>
      </c>
      <c r="AN91" s="16">
        <v>0</v>
      </c>
      <c r="AO91" s="16">
        <v>0</v>
      </c>
      <c r="AP91" s="16">
        <v>16969</v>
      </c>
      <c r="AQ91" s="16">
        <v>33938</v>
      </c>
      <c r="AR91" s="17">
        <v>0.32736165949672935</v>
      </c>
      <c r="AS91" s="17">
        <v>0.67263834050327065</v>
      </c>
      <c r="AT91" s="17">
        <v>0</v>
      </c>
      <c r="AU91" s="17">
        <v>0</v>
      </c>
      <c r="AV91" s="18">
        <f t="shared" si="3"/>
        <v>3756.6000000000004</v>
      </c>
      <c r="AW91" s="18">
        <f t="shared" si="4"/>
        <v>6999</v>
      </c>
      <c r="AX91" s="14">
        <v>0</v>
      </c>
      <c r="AY91" s="14">
        <v>0</v>
      </c>
      <c r="AZ91" s="18">
        <f t="shared" si="8"/>
        <v>10755.6</v>
      </c>
      <c r="BA91" s="26">
        <f>6261*1.2</f>
        <v>7513.2</v>
      </c>
      <c r="BB91" s="26">
        <f>11665*1.2</f>
        <v>13998</v>
      </c>
      <c r="BC91" s="14">
        <v>0</v>
      </c>
      <c r="BD91" s="14">
        <v>0</v>
      </c>
      <c r="BE91" s="14">
        <f t="shared" si="9"/>
        <v>21511.200000000001</v>
      </c>
      <c r="BF91" s="19">
        <f>[1]Analiza!$BG141*AR91</f>
        <v>0</v>
      </c>
      <c r="BG91" s="14">
        <f>[1]Analiza!$BG141*AS91</f>
        <v>0</v>
      </c>
      <c r="BH91" s="14">
        <f>[1]Analiza!$BG141*AT91</f>
        <v>0</v>
      </c>
      <c r="BI91" s="14">
        <f>[1]Analiza!$BG141*AU91</f>
        <v>0</v>
      </c>
      <c r="BJ91" s="50">
        <f t="shared" si="2"/>
        <v>0</v>
      </c>
      <c r="BK91" s="18">
        <f t="shared" si="5"/>
        <v>2504.4</v>
      </c>
      <c r="BL91" s="18">
        <f t="shared" si="6"/>
        <v>4666</v>
      </c>
      <c r="BM91" s="18">
        <f t="shared" si="7"/>
        <v>7170.4</v>
      </c>
      <c r="BN91" s="51" t="s">
        <v>309</v>
      </c>
    </row>
    <row r="92" spans="1:66" x14ac:dyDescent="0.25">
      <c r="A92" s="7">
        <v>41</v>
      </c>
      <c r="B92" s="7">
        <v>1</v>
      </c>
      <c r="C92" s="11" t="s">
        <v>38</v>
      </c>
      <c r="D92" s="3" t="s">
        <v>72</v>
      </c>
      <c r="E92" s="3" t="s">
        <v>73</v>
      </c>
      <c r="F92" s="3" t="s">
        <v>74</v>
      </c>
      <c r="G92" s="3" t="s">
        <v>75</v>
      </c>
      <c r="H92" s="3" t="s">
        <v>76</v>
      </c>
      <c r="I92" s="3" t="s">
        <v>297</v>
      </c>
      <c r="J92" s="3" t="s">
        <v>186</v>
      </c>
      <c r="K92" s="14" t="s">
        <v>156</v>
      </c>
      <c r="L92" s="3"/>
      <c r="M92" s="3" t="s">
        <v>40</v>
      </c>
      <c r="N92" s="3" t="s">
        <v>39</v>
      </c>
      <c r="O92" s="3" t="s">
        <v>41</v>
      </c>
      <c r="P92" s="3" t="s">
        <v>45</v>
      </c>
      <c r="Q92" s="3" t="s">
        <v>77</v>
      </c>
      <c r="R92" s="3">
        <v>0</v>
      </c>
      <c r="S92" s="3">
        <v>0</v>
      </c>
      <c r="T92" s="3">
        <v>0</v>
      </c>
      <c r="U92" s="3">
        <v>0</v>
      </c>
      <c r="V92" s="15">
        <v>4</v>
      </c>
      <c r="W92" s="14">
        <v>80</v>
      </c>
      <c r="X92" s="14" t="s">
        <v>42</v>
      </c>
      <c r="Y92" s="4"/>
      <c r="Z92" s="4"/>
      <c r="AA92" s="4"/>
      <c r="AB92" s="4"/>
      <c r="AC92" s="4"/>
      <c r="AD92" s="5"/>
      <c r="AE92" s="6"/>
      <c r="AF92" s="6"/>
      <c r="AG92" s="10">
        <v>90888833</v>
      </c>
      <c r="AH92" s="14" t="s">
        <v>228</v>
      </c>
      <c r="AI92" s="10" t="s">
        <v>112</v>
      </c>
      <c r="AJ92" s="16" t="s">
        <v>125</v>
      </c>
      <c r="AK92" s="16" t="s">
        <v>43</v>
      </c>
      <c r="AL92" s="16">
        <v>11995</v>
      </c>
      <c r="AM92" s="16">
        <v>32866</v>
      </c>
      <c r="AN92" s="16">
        <v>0</v>
      </c>
      <c r="AO92" s="16">
        <v>0</v>
      </c>
      <c r="AP92" s="16">
        <v>44861</v>
      </c>
      <c r="AQ92" s="16">
        <v>89722</v>
      </c>
      <c r="AR92" s="17">
        <v>0.26738146719868039</v>
      </c>
      <c r="AS92" s="17">
        <v>0.73261853280131961</v>
      </c>
      <c r="AT92" s="17">
        <v>0</v>
      </c>
      <c r="AU92" s="17">
        <v>0</v>
      </c>
      <c r="AV92" s="18">
        <f t="shared" si="3"/>
        <v>2738.4</v>
      </c>
      <c r="AW92" s="18">
        <f t="shared" si="4"/>
        <v>4381.2</v>
      </c>
      <c r="AX92" s="14">
        <v>0</v>
      </c>
      <c r="AY92" s="14">
        <v>0</v>
      </c>
      <c r="AZ92" s="18">
        <f t="shared" si="8"/>
        <v>7119.6</v>
      </c>
      <c r="BA92" s="26">
        <f>4564*1.2</f>
        <v>5476.8</v>
      </c>
      <c r="BB92" s="26">
        <f>7302*1.2</f>
        <v>8762.4</v>
      </c>
      <c r="BC92" s="14">
        <v>0</v>
      </c>
      <c r="BD92" s="14">
        <v>0</v>
      </c>
      <c r="BE92" s="14">
        <f t="shared" si="9"/>
        <v>14239.2</v>
      </c>
      <c r="BF92" s="19">
        <f>[1]Analiza!$BG142*AR92</f>
        <v>0</v>
      </c>
      <c r="BG92" s="14">
        <f>[1]Analiza!$BG142*AS92</f>
        <v>0</v>
      </c>
      <c r="BH92" s="14">
        <f>[1]Analiza!$BG142*AT92</f>
        <v>0</v>
      </c>
      <c r="BI92" s="14">
        <f>[1]Analiza!$BG142*AU92</f>
        <v>0</v>
      </c>
      <c r="BJ92" s="50">
        <f t="shared" si="2"/>
        <v>0</v>
      </c>
      <c r="BK92" s="18">
        <f t="shared" si="5"/>
        <v>1825.6000000000001</v>
      </c>
      <c r="BL92" s="18">
        <f t="shared" si="6"/>
        <v>2920.7999999999997</v>
      </c>
      <c r="BM92" s="18">
        <f t="shared" si="7"/>
        <v>4746.3999999999996</v>
      </c>
      <c r="BN92" s="51" t="s">
        <v>309</v>
      </c>
    </row>
    <row r="93" spans="1:66" x14ac:dyDescent="0.25">
      <c r="A93" s="7">
        <v>42</v>
      </c>
      <c r="B93" s="7">
        <v>1</v>
      </c>
      <c r="C93" s="11" t="s">
        <v>38</v>
      </c>
      <c r="D93" s="3" t="s">
        <v>72</v>
      </c>
      <c r="E93" s="3" t="s">
        <v>73</v>
      </c>
      <c r="F93" s="3" t="s">
        <v>74</v>
      </c>
      <c r="G93" s="3" t="s">
        <v>75</v>
      </c>
      <c r="H93" s="3" t="s">
        <v>76</v>
      </c>
      <c r="I93" s="3" t="s">
        <v>298</v>
      </c>
      <c r="J93" s="3" t="s">
        <v>186</v>
      </c>
      <c r="K93" s="14" t="s">
        <v>157</v>
      </c>
      <c r="L93" s="3"/>
      <c r="M93" s="3" t="s">
        <v>40</v>
      </c>
      <c r="N93" s="3" t="s">
        <v>39</v>
      </c>
      <c r="O93" s="3" t="s">
        <v>41</v>
      </c>
      <c r="P93" s="3" t="s">
        <v>45</v>
      </c>
      <c r="Q93" s="3" t="s">
        <v>77</v>
      </c>
      <c r="R93" s="3">
        <v>0</v>
      </c>
      <c r="S93" s="3">
        <v>0</v>
      </c>
      <c r="T93" s="3">
        <v>0</v>
      </c>
      <c r="U93" s="3">
        <v>0</v>
      </c>
      <c r="V93" s="15">
        <v>20</v>
      </c>
      <c r="W93" s="14">
        <v>40</v>
      </c>
      <c r="X93" s="14" t="s">
        <v>42</v>
      </c>
      <c r="Y93" s="4"/>
      <c r="Z93" s="4"/>
      <c r="AA93" s="4"/>
      <c r="AB93" s="4"/>
      <c r="AC93" s="4"/>
      <c r="AD93" s="5"/>
      <c r="AE93" s="6"/>
      <c r="AF93" s="6"/>
      <c r="AG93" s="10">
        <v>90888859</v>
      </c>
      <c r="AH93" s="14" t="s">
        <v>229</v>
      </c>
      <c r="AI93" s="10" t="s">
        <v>113</v>
      </c>
      <c r="AJ93" s="16" t="s">
        <v>125</v>
      </c>
      <c r="AK93" s="16" t="s">
        <v>43</v>
      </c>
      <c r="AL93" s="16">
        <v>21609</v>
      </c>
      <c r="AM93" s="16">
        <v>44045</v>
      </c>
      <c r="AN93" s="16">
        <v>0</v>
      </c>
      <c r="AO93" s="16">
        <v>0</v>
      </c>
      <c r="AP93" s="16">
        <v>65654</v>
      </c>
      <c r="AQ93" s="16">
        <v>131308</v>
      </c>
      <c r="AR93" s="17">
        <v>0.32913455387333596</v>
      </c>
      <c r="AS93" s="17">
        <v>0.67086544612666399</v>
      </c>
      <c r="AT93" s="17">
        <v>0</v>
      </c>
      <c r="AU93" s="17">
        <v>0</v>
      </c>
      <c r="AV93" s="18">
        <f t="shared" si="3"/>
        <v>6184.7999999999993</v>
      </c>
      <c r="AW93" s="18">
        <f t="shared" si="4"/>
        <v>7767</v>
      </c>
      <c r="AX93" s="14">
        <v>0</v>
      </c>
      <c r="AY93" s="14">
        <v>0</v>
      </c>
      <c r="AZ93" s="18">
        <f t="shared" si="8"/>
        <v>13951.8</v>
      </c>
      <c r="BA93" s="26">
        <f>10308*1.2</f>
        <v>12369.6</v>
      </c>
      <c r="BB93" s="26">
        <f>12945*1.2</f>
        <v>15534</v>
      </c>
      <c r="BC93" s="14">
        <v>0</v>
      </c>
      <c r="BD93" s="14">
        <v>0</v>
      </c>
      <c r="BE93" s="14">
        <f t="shared" si="9"/>
        <v>27903.599999999999</v>
      </c>
      <c r="BF93" s="19">
        <f>[1]Analiza!$BG143*AR93</f>
        <v>0</v>
      </c>
      <c r="BG93" s="14">
        <f>[1]Analiza!$BG143*AS93</f>
        <v>0</v>
      </c>
      <c r="BH93" s="14">
        <f>[1]Analiza!$BG143*AT93</f>
        <v>0</v>
      </c>
      <c r="BI93" s="14">
        <f>[1]Analiza!$BG143*AU93</f>
        <v>0</v>
      </c>
      <c r="BJ93" s="50">
        <f t="shared" si="2"/>
        <v>0</v>
      </c>
      <c r="BK93" s="18">
        <f t="shared" si="5"/>
        <v>4123.2</v>
      </c>
      <c r="BL93" s="18">
        <f t="shared" si="6"/>
        <v>5178</v>
      </c>
      <c r="BM93" s="18">
        <f t="shared" si="7"/>
        <v>9301.2000000000007</v>
      </c>
      <c r="BN93" s="51" t="s">
        <v>309</v>
      </c>
    </row>
    <row r="94" spans="1:66" x14ac:dyDescent="0.25">
      <c r="A94" s="7">
        <v>43</v>
      </c>
      <c r="B94" s="7">
        <v>1</v>
      </c>
      <c r="C94" s="11" t="s">
        <v>38</v>
      </c>
      <c r="D94" s="3" t="s">
        <v>72</v>
      </c>
      <c r="E94" s="3" t="s">
        <v>73</v>
      </c>
      <c r="F94" s="3" t="s">
        <v>74</v>
      </c>
      <c r="G94" s="3" t="s">
        <v>75</v>
      </c>
      <c r="H94" s="3" t="s">
        <v>76</v>
      </c>
      <c r="I94" s="3" t="s">
        <v>50</v>
      </c>
      <c r="J94" s="3" t="s">
        <v>186</v>
      </c>
      <c r="K94" s="14" t="s">
        <v>158</v>
      </c>
      <c r="L94" s="3"/>
      <c r="M94" s="3" t="s">
        <v>40</v>
      </c>
      <c r="N94" s="3" t="s">
        <v>39</v>
      </c>
      <c r="O94" s="3" t="s">
        <v>41</v>
      </c>
      <c r="P94" s="3" t="s">
        <v>45</v>
      </c>
      <c r="Q94" s="3" t="s">
        <v>77</v>
      </c>
      <c r="R94" s="3">
        <v>0</v>
      </c>
      <c r="S94" s="3">
        <v>0</v>
      </c>
      <c r="T94" s="3">
        <v>0</v>
      </c>
      <c r="U94" s="3">
        <v>0</v>
      </c>
      <c r="V94" s="15">
        <v>10</v>
      </c>
      <c r="W94" s="14">
        <v>63</v>
      </c>
      <c r="X94" s="14" t="s">
        <v>42</v>
      </c>
      <c r="Y94" s="4"/>
      <c r="Z94" s="4"/>
      <c r="AA94" s="4"/>
      <c r="AB94" s="4"/>
      <c r="AC94" s="4"/>
      <c r="AD94" s="5"/>
      <c r="AE94" s="6"/>
      <c r="AF94" s="6"/>
      <c r="AG94" s="14">
        <v>90888932</v>
      </c>
      <c r="AH94" s="14" t="s">
        <v>219</v>
      </c>
      <c r="AI94" s="10" t="s">
        <v>114</v>
      </c>
      <c r="AJ94" s="16" t="s">
        <v>125</v>
      </c>
      <c r="AK94" s="16" t="s">
        <v>43</v>
      </c>
      <c r="AL94" s="16">
        <v>20345</v>
      </c>
      <c r="AM94" s="16">
        <v>42281</v>
      </c>
      <c r="AN94" s="16">
        <v>0</v>
      </c>
      <c r="AO94" s="16">
        <v>0</v>
      </c>
      <c r="AP94" s="16">
        <v>62626</v>
      </c>
      <c r="AQ94" s="16">
        <v>125252</v>
      </c>
      <c r="AR94" s="17">
        <v>0.32486507201481812</v>
      </c>
      <c r="AS94" s="17">
        <v>0.67513492798518182</v>
      </c>
      <c r="AT94" s="17">
        <v>0</v>
      </c>
      <c r="AU94" s="17">
        <v>0</v>
      </c>
      <c r="AV94" s="18">
        <f t="shared" si="3"/>
        <v>6844.7999999999993</v>
      </c>
      <c r="AW94" s="18">
        <f t="shared" si="4"/>
        <v>11715.6</v>
      </c>
      <c r="AX94" s="14">
        <v>0</v>
      </c>
      <c r="AY94" s="14">
        <v>0</v>
      </c>
      <c r="AZ94" s="18">
        <f t="shared" si="8"/>
        <v>18560.400000000001</v>
      </c>
      <c r="BA94" s="26">
        <f>11408*1.2</f>
        <v>13689.6</v>
      </c>
      <c r="BB94" s="26">
        <f>19526*1.2</f>
        <v>23431.200000000001</v>
      </c>
      <c r="BC94" s="14">
        <v>0</v>
      </c>
      <c r="BD94" s="14">
        <v>0</v>
      </c>
      <c r="BE94" s="14">
        <f t="shared" si="9"/>
        <v>37120.800000000003</v>
      </c>
      <c r="BF94" s="19">
        <f>[1]Analiza!$BG144*AR94</f>
        <v>0</v>
      </c>
      <c r="BG94" s="14">
        <f>[1]Analiza!$BG144*AS94</f>
        <v>0</v>
      </c>
      <c r="BH94" s="14">
        <f>[1]Analiza!$BG144*AT94</f>
        <v>0</v>
      </c>
      <c r="BI94" s="14">
        <f>[1]Analiza!$BG144*AU94</f>
        <v>0</v>
      </c>
      <c r="BJ94" s="50">
        <f t="shared" si="2"/>
        <v>0</v>
      </c>
      <c r="BK94" s="18">
        <f t="shared" si="5"/>
        <v>4563.2</v>
      </c>
      <c r="BL94" s="18">
        <f t="shared" si="6"/>
        <v>7810.4000000000005</v>
      </c>
      <c r="BM94" s="18">
        <f t="shared" si="7"/>
        <v>12373.6</v>
      </c>
      <c r="BN94" s="51" t="s">
        <v>309</v>
      </c>
    </row>
    <row r="95" spans="1:66" x14ac:dyDescent="0.25">
      <c r="A95" s="7">
        <v>44</v>
      </c>
      <c r="B95" s="7">
        <v>1</v>
      </c>
      <c r="C95" s="11" t="s">
        <v>38</v>
      </c>
      <c r="D95" s="3" t="s">
        <v>72</v>
      </c>
      <c r="E95" s="3" t="s">
        <v>73</v>
      </c>
      <c r="F95" s="3" t="s">
        <v>74</v>
      </c>
      <c r="G95" s="3" t="s">
        <v>75</v>
      </c>
      <c r="H95" s="3" t="s">
        <v>76</v>
      </c>
      <c r="I95" s="3" t="s">
        <v>195</v>
      </c>
      <c r="J95" s="3" t="s">
        <v>204</v>
      </c>
      <c r="K95" s="14" t="s">
        <v>202</v>
      </c>
      <c r="L95" s="3" t="s">
        <v>59</v>
      </c>
      <c r="M95" s="3" t="s">
        <v>40</v>
      </c>
      <c r="N95" s="3" t="s">
        <v>39</v>
      </c>
      <c r="O95" s="3" t="s">
        <v>41</v>
      </c>
      <c r="P95" s="3" t="s">
        <v>45</v>
      </c>
      <c r="Q95" s="3" t="s">
        <v>77</v>
      </c>
      <c r="R95" s="3">
        <v>0</v>
      </c>
      <c r="S95" s="3">
        <v>0</v>
      </c>
      <c r="T95" s="3">
        <v>0</v>
      </c>
      <c r="U95" s="3">
        <v>0</v>
      </c>
      <c r="V95" s="15">
        <v>5</v>
      </c>
      <c r="W95" s="14">
        <v>40</v>
      </c>
      <c r="X95" s="14" t="s">
        <v>42</v>
      </c>
      <c r="Y95" s="4"/>
      <c r="Z95" s="4"/>
      <c r="AA95" s="4"/>
      <c r="AB95" s="4"/>
      <c r="AC95" s="4"/>
      <c r="AD95" s="5"/>
      <c r="AE95" s="6"/>
      <c r="AF95" s="6"/>
      <c r="AG95" s="10">
        <v>90888860</v>
      </c>
      <c r="AH95" s="14" t="s">
        <v>218</v>
      </c>
      <c r="AI95" s="10" t="s">
        <v>115</v>
      </c>
      <c r="AJ95" s="16" t="s">
        <v>125</v>
      </c>
      <c r="AK95" s="16" t="s">
        <v>43</v>
      </c>
      <c r="AL95" s="16">
        <v>7810</v>
      </c>
      <c r="AM95" s="16">
        <v>17038</v>
      </c>
      <c r="AN95" s="16">
        <v>0</v>
      </c>
      <c r="AO95" s="16">
        <v>0</v>
      </c>
      <c r="AP95" s="16">
        <v>24848</v>
      </c>
      <c r="AQ95" s="16">
        <v>49696</v>
      </c>
      <c r="AR95" s="17">
        <v>0.31431101094655506</v>
      </c>
      <c r="AS95" s="17">
        <v>0.685688989053445</v>
      </c>
      <c r="AT95" s="17">
        <v>0</v>
      </c>
      <c r="AU95" s="17">
        <v>0</v>
      </c>
      <c r="AV95" s="18">
        <f t="shared" si="3"/>
        <v>9679.7999999999993</v>
      </c>
      <c r="AW95" s="18">
        <f t="shared" si="4"/>
        <v>8165.4</v>
      </c>
      <c r="AX95" s="14">
        <v>0</v>
      </c>
      <c r="AY95" s="14">
        <v>0</v>
      </c>
      <c r="AZ95" s="18">
        <f t="shared" si="8"/>
        <v>17845.199999999997</v>
      </c>
      <c r="BA95" s="26">
        <f>16133*1.2</f>
        <v>19359.599999999999</v>
      </c>
      <c r="BB95" s="26">
        <f>13609*1.2</f>
        <v>16330.8</v>
      </c>
      <c r="BC95" s="14">
        <v>0</v>
      </c>
      <c r="BD95" s="14">
        <v>0</v>
      </c>
      <c r="BE95" s="14">
        <f t="shared" si="9"/>
        <v>35690.399999999994</v>
      </c>
      <c r="BF95" s="19">
        <f>[1]Analiza!$BG145*AR95</f>
        <v>0</v>
      </c>
      <c r="BG95" s="14">
        <f>[1]Analiza!$BG145*AS95</f>
        <v>0</v>
      </c>
      <c r="BH95" s="14">
        <f>[1]Analiza!$BG145*AT95</f>
        <v>0</v>
      </c>
      <c r="BI95" s="14">
        <f>[1]Analiza!$BG145*AU95</f>
        <v>0</v>
      </c>
      <c r="BJ95" s="50">
        <f t="shared" si="2"/>
        <v>0</v>
      </c>
      <c r="BK95" s="18">
        <f t="shared" si="5"/>
        <v>6453.2</v>
      </c>
      <c r="BL95" s="18">
        <f t="shared" si="6"/>
        <v>5443.5999999999995</v>
      </c>
      <c r="BM95" s="18">
        <f t="shared" si="7"/>
        <v>11896.8</v>
      </c>
      <c r="BN95" s="51" t="s">
        <v>309</v>
      </c>
    </row>
    <row r="96" spans="1:66" x14ac:dyDescent="0.25">
      <c r="A96" s="7">
        <v>45</v>
      </c>
      <c r="B96" s="7">
        <v>1</v>
      </c>
      <c r="C96" s="11" t="s">
        <v>38</v>
      </c>
      <c r="D96" s="3" t="s">
        <v>72</v>
      </c>
      <c r="E96" s="3" t="s">
        <v>73</v>
      </c>
      <c r="F96" s="3" t="s">
        <v>74</v>
      </c>
      <c r="G96" s="3" t="s">
        <v>75</v>
      </c>
      <c r="H96" s="3" t="s">
        <v>76</v>
      </c>
      <c r="I96" s="3" t="s">
        <v>299</v>
      </c>
      <c r="J96" s="3" t="s">
        <v>186</v>
      </c>
      <c r="K96" s="14" t="s">
        <v>203</v>
      </c>
      <c r="L96" s="3" t="s">
        <v>195</v>
      </c>
      <c r="M96" s="3" t="s">
        <v>40</v>
      </c>
      <c r="N96" s="3" t="s">
        <v>39</v>
      </c>
      <c r="O96" s="3" t="s">
        <v>41</v>
      </c>
      <c r="P96" s="3" t="s">
        <v>45</v>
      </c>
      <c r="Q96" s="3" t="s">
        <v>77</v>
      </c>
      <c r="R96" s="3">
        <v>0</v>
      </c>
      <c r="S96" s="3">
        <v>0</v>
      </c>
      <c r="T96" s="3">
        <v>0</v>
      </c>
      <c r="U96" s="3">
        <v>0</v>
      </c>
      <c r="V96" s="15">
        <v>18</v>
      </c>
      <c r="W96" s="14">
        <v>32</v>
      </c>
      <c r="X96" s="14" t="s">
        <v>42</v>
      </c>
      <c r="Y96" s="4"/>
      <c r="Z96" s="4"/>
      <c r="AA96" s="4"/>
      <c r="AB96" s="4"/>
      <c r="AC96" s="4"/>
      <c r="AD96" s="5"/>
      <c r="AE96" s="6"/>
      <c r="AF96" s="6"/>
      <c r="AG96" s="10">
        <v>90850126</v>
      </c>
      <c r="AH96" s="14" t="s">
        <v>212</v>
      </c>
      <c r="AI96" s="10" t="s">
        <v>116</v>
      </c>
      <c r="AJ96" s="16" t="s">
        <v>125</v>
      </c>
      <c r="AK96" s="16" t="s">
        <v>43</v>
      </c>
      <c r="AL96" s="16">
        <v>16906</v>
      </c>
      <c r="AM96" s="16">
        <v>36501</v>
      </c>
      <c r="AN96" s="16">
        <v>0</v>
      </c>
      <c r="AO96" s="16">
        <v>0</v>
      </c>
      <c r="AP96" s="16">
        <v>53407</v>
      </c>
      <c r="AQ96" s="16">
        <v>106814</v>
      </c>
      <c r="AR96" s="17">
        <v>0.31655026494654259</v>
      </c>
      <c r="AS96" s="17">
        <v>0.68344973505345741</v>
      </c>
      <c r="AT96" s="17">
        <v>0</v>
      </c>
      <c r="AU96" s="17">
        <v>0</v>
      </c>
      <c r="AV96" s="18">
        <f t="shared" si="3"/>
        <v>7036.2000000000007</v>
      </c>
      <c r="AW96" s="18">
        <f t="shared" si="4"/>
        <v>11530.199999999999</v>
      </c>
      <c r="AX96" s="14">
        <v>0</v>
      </c>
      <c r="AY96" s="14">
        <v>0</v>
      </c>
      <c r="AZ96" s="18">
        <f t="shared" si="8"/>
        <v>18566.400000000001</v>
      </c>
      <c r="BA96" s="26">
        <f>11727*1.2</f>
        <v>14072.4</v>
      </c>
      <c r="BB96" s="26">
        <f>19217*1.2</f>
        <v>23060.399999999998</v>
      </c>
      <c r="BC96" s="14">
        <v>0</v>
      </c>
      <c r="BD96" s="14">
        <v>0</v>
      </c>
      <c r="BE96" s="14">
        <f t="shared" si="9"/>
        <v>37132.799999999996</v>
      </c>
      <c r="BF96" s="19">
        <f>[1]Analiza!$BG146*AR96</f>
        <v>0</v>
      </c>
      <c r="BG96" s="14">
        <f>[1]Analiza!$BG146*AS96</f>
        <v>0</v>
      </c>
      <c r="BH96" s="14">
        <f>[1]Analiza!$BG146*AT96</f>
        <v>0</v>
      </c>
      <c r="BI96" s="14">
        <f>[1]Analiza!$BG146*AU96</f>
        <v>0</v>
      </c>
      <c r="BJ96" s="50">
        <f t="shared" si="2"/>
        <v>0</v>
      </c>
      <c r="BK96" s="18">
        <f t="shared" si="5"/>
        <v>4690.8</v>
      </c>
      <c r="BL96" s="18">
        <f t="shared" si="6"/>
        <v>7686.7999999999993</v>
      </c>
      <c r="BM96" s="18">
        <f t="shared" si="7"/>
        <v>12377.599999999999</v>
      </c>
      <c r="BN96" s="51" t="s">
        <v>309</v>
      </c>
    </row>
    <row r="97" spans="1:68" ht="30" x14ac:dyDescent="0.25">
      <c r="A97" s="7">
        <v>46</v>
      </c>
      <c r="B97" s="7">
        <v>1</v>
      </c>
      <c r="C97" s="11" t="s">
        <v>38</v>
      </c>
      <c r="D97" s="3" t="s">
        <v>72</v>
      </c>
      <c r="E97" s="3" t="s">
        <v>73</v>
      </c>
      <c r="F97" s="3" t="s">
        <v>74</v>
      </c>
      <c r="G97" s="3" t="s">
        <v>75</v>
      </c>
      <c r="H97" s="3" t="s">
        <v>76</v>
      </c>
      <c r="I97" s="3" t="s">
        <v>300</v>
      </c>
      <c r="J97" s="3" t="s">
        <v>204</v>
      </c>
      <c r="K97" s="23" t="s">
        <v>189</v>
      </c>
      <c r="L97" s="3"/>
      <c r="M97" s="3" t="s">
        <v>40</v>
      </c>
      <c r="N97" s="3" t="s">
        <v>39</v>
      </c>
      <c r="O97" s="3" t="s">
        <v>41</v>
      </c>
      <c r="P97" s="3" t="s">
        <v>45</v>
      </c>
      <c r="Q97" s="3" t="s">
        <v>77</v>
      </c>
      <c r="R97" s="3">
        <v>0</v>
      </c>
      <c r="S97" s="3">
        <v>0</v>
      </c>
      <c r="T97" s="3">
        <v>0</v>
      </c>
      <c r="U97" s="3">
        <v>0</v>
      </c>
      <c r="V97" s="15">
        <v>16.100000000000001</v>
      </c>
      <c r="W97" s="14">
        <v>25</v>
      </c>
      <c r="X97" s="14" t="s">
        <v>42</v>
      </c>
      <c r="Y97" s="4"/>
      <c r="Z97" s="4"/>
      <c r="AA97" s="4"/>
      <c r="AB97" s="4"/>
      <c r="AC97" s="4"/>
      <c r="AD97" s="5"/>
      <c r="AE97" s="6"/>
      <c r="AF97" s="6"/>
      <c r="AG97" s="10" t="s">
        <v>153</v>
      </c>
      <c r="AH97" s="14" t="s">
        <v>216</v>
      </c>
      <c r="AI97" s="10" t="s">
        <v>117</v>
      </c>
      <c r="AJ97" s="16" t="s">
        <v>125</v>
      </c>
      <c r="AK97" s="16" t="s">
        <v>43</v>
      </c>
      <c r="AL97" s="16">
        <v>988</v>
      </c>
      <c r="AM97" s="16">
        <v>1114</v>
      </c>
      <c r="AN97" s="16">
        <v>0</v>
      </c>
      <c r="AO97" s="16">
        <v>0</v>
      </c>
      <c r="AP97" s="16">
        <v>2102</v>
      </c>
      <c r="AQ97" s="16">
        <v>4204</v>
      </c>
      <c r="AR97" s="17">
        <v>0.47002854424357754</v>
      </c>
      <c r="AS97" s="17">
        <v>0.52997145575642246</v>
      </c>
      <c r="AT97" s="17">
        <v>0</v>
      </c>
      <c r="AU97" s="17">
        <v>0</v>
      </c>
      <c r="AV97" s="18">
        <f t="shared" si="3"/>
        <v>2935.2</v>
      </c>
      <c r="AW97" s="18">
        <f t="shared" si="4"/>
        <v>4402.8</v>
      </c>
      <c r="AX97" s="14">
        <v>0</v>
      </c>
      <c r="AY97" s="14">
        <v>0</v>
      </c>
      <c r="AZ97" s="18">
        <f t="shared" si="8"/>
        <v>7338</v>
      </c>
      <c r="BA97" s="26">
        <f>4892*1.2</f>
        <v>5870.4</v>
      </c>
      <c r="BB97" s="26">
        <f>7338*1.2</f>
        <v>8805.6</v>
      </c>
      <c r="BC97" s="14">
        <v>0</v>
      </c>
      <c r="BD97" s="14">
        <v>0</v>
      </c>
      <c r="BE97" s="14">
        <f t="shared" si="9"/>
        <v>14676</v>
      </c>
      <c r="BF97" s="19">
        <f>[1]Analiza!$BG147*AR97</f>
        <v>0</v>
      </c>
      <c r="BG97" s="14">
        <f>[1]Analiza!$BG147*AS97</f>
        <v>0</v>
      </c>
      <c r="BH97" s="14">
        <f>[1]Analiza!$BG147*AT97</f>
        <v>0</v>
      </c>
      <c r="BI97" s="14">
        <f>[1]Analiza!$BG147*AU97</f>
        <v>0</v>
      </c>
      <c r="BJ97" s="50">
        <f t="shared" si="2"/>
        <v>0</v>
      </c>
      <c r="BK97" s="18">
        <f t="shared" si="5"/>
        <v>1956.8</v>
      </c>
      <c r="BL97" s="18">
        <f t="shared" si="6"/>
        <v>2935.2000000000003</v>
      </c>
      <c r="BM97" s="18">
        <f t="shared" si="7"/>
        <v>4892</v>
      </c>
      <c r="BN97" s="51" t="s">
        <v>309</v>
      </c>
    </row>
    <row r="98" spans="1:68" ht="30" x14ac:dyDescent="0.25">
      <c r="A98" s="7">
        <v>47</v>
      </c>
      <c r="B98" s="7">
        <v>1</v>
      </c>
      <c r="C98" s="11" t="s">
        <v>38</v>
      </c>
      <c r="D98" s="3" t="s">
        <v>72</v>
      </c>
      <c r="E98" s="3" t="s">
        <v>73</v>
      </c>
      <c r="F98" s="3" t="s">
        <v>74</v>
      </c>
      <c r="G98" s="3" t="s">
        <v>75</v>
      </c>
      <c r="H98" s="3" t="s">
        <v>76</v>
      </c>
      <c r="I98" s="3" t="s">
        <v>301</v>
      </c>
      <c r="J98" s="3" t="s">
        <v>204</v>
      </c>
      <c r="K98" s="27" t="s">
        <v>159</v>
      </c>
      <c r="L98" s="3"/>
      <c r="M98" s="3" t="s">
        <v>40</v>
      </c>
      <c r="N98" s="3" t="s">
        <v>39</v>
      </c>
      <c r="O98" s="3" t="s">
        <v>41</v>
      </c>
      <c r="P98" s="3" t="s">
        <v>45</v>
      </c>
      <c r="Q98" s="3" t="s">
        <v>77</v>
      </c>
      <c r="R98" s="3">
        <v>0</v>
      </c>
      <c r="S98" s="3">
        <v>0</v>
      </c>
      <c r="T98" s="3">
        <v>0</v>
      </c>
      <c r="U98" s="3">
        <v>0</v>
      </c>
      <c r="V98" s="15">
        <v>25.8</v>
      </c>
      <c r="W98" s="14">
        <v>40</v>
      </c>
      <c r="X98" s="14" t="s">
        <v>42</v>
      </c>
      <c r="Y98" s="4"/>
      <c r="Z98" s="4"/>
      <c r="AA98" s="4"/>
      <c r="AB98" s="4"/>
      <c r="AC98" s="4"/>
      <c r="AD98" s="5"/>
      <c r="AE98" s="6"/>
      <c r="AF98" s="6"/>
      <c r="AG98" s="10" t="s">
        <v>154</v>
      </c>
      <c r="AH98" s="14" t="s">
        <v>217</v>
      </c>
      <c r="AI98" s="10" t="s">
        <v>118</v>
      </c>
      <c r="AJ98" s="16" t="s">
        <v>125</v>
      </c>
      <c r="AK98" s="16" t="s">
        <v>43</v>
      </c>
      <c r="AL98" s="16">
        <v>3102</v>
      </c>
      <c r="AM98" s="16">
        <v>6698</v>
      </c>
      <c r="AN98" s="16">
        <v>0</v>
      </c>
      <c r="AO98" s="16">
        <v>0</v>
      </c>
      <c r="AP98" s="16">
        <v>9800</v>
      </c>
      <c r="AQ98" s="16">
        <v>19600</v>
      </c>
      <c r="AR98" s="17">
        <v>0.31653061224489798</v>
      </c>
      <c r="AS98" s="17">
        <v>0.68346938775510202</v>
      </c>
      <c r="AT98" s="17">
        <v>0</v>
      </c>
      <c r="AU98" s="17">
        <v>0</v>
      </c>
      <c r="AV98" s="18">
        <f t="shared" si="3"/>
        <v>2652</v>
      </c>
      <c r="AW98" s="18">
        <f t="shared" si="4"/>
        <v>2946</v>
      </c>
      <c r="AX98" s="14">
        <v>0</v>
      </c>
      <c r="AY98" s="14">
        <v>0</v>
      </c>
      <c r="AZ98" s="18">
        <f t="shared" si="8"/>
        <v>5598</v>
      </c>
      <c r="BA98" s="26">
        <f>4420*1.2</f>
        <v>5304</v>
      </c>
      <c r="BB98" s="26">
        <f>4910*1.2</f>
        <v>5892</v>
      </c>
      <c r="BC98" s="14">
        <v>0</v>
      </c>
      <c r="BD98" s="14">
        <v>0</v>
      </c>
      <c r="BE98" s="14">
        <f t="shared" si="9"/>
        <v>11196</v>
      </c>
      <c r="BF98" s="19">
        <f>[1]Analiza!$BG148*AR98</f>
        <v>0</v>
      </c>
      <c r="BG98" s="14">
        <f>[1]Analiza!$BG148*AS98</f>
        <v>0</v>
      </c>
      <c r="BH98" s="14">
        <f>[1]Analiza!$BG148*AT98</f>
        <v>0</v>
      </c>
      <c r="BI98" s="14">
        <f>[1]Analiza!$BG148*AU98</f>
        <v>0</v>
      </c>
      <c r="BJ98" s="50">
        <f t="shared" si="2"/>
        <v>0</v>
      </c>
      <c r="BK98" s="18">
        <f t="shared" si="5"/>
        <v>1768</v>
      </c>
      <c r="BL98" s="18">
        <f t="shared" si="6"/>
        <v>1964</v>
      </c>
      <c r="BM98" s="18">
        <f t="shared" si="7"/>
        <v>3732</v>
      </c>
      <c r="BN98" s="51" t="s">
        <v>309</v>
      </c>
    </row>
    <row r="99" spans="1:68" x14ac:dyDescent="0.25">
      <c r="A99" s="7">
        <v>48</v>
      </c>
      <c r="B99" s="7">
        <v>1</v>
      </c>
      <c r="C99" s="11" t="s">
        <v>38</v>
      </c>
      <c r="D99" s="3" t="s">
        <v>72</v>
      </c>
      <c r="E99" s="3" t="s">
        <v>73</v>
      </c>
      <c r="F99" s="3" t="s">
        <v>74</v>
      </c>
      <c r="G99" s="3" t="s">
        <v>75</v>
      </c>
      <c r="H99" s="3" t="s">
        <v>76</v>
      </c>
      <c r="I99" s="3" t="s">
        <v>54</v>
      </c>
      <c r="J99" s="3" t="s">
        <v>188</v>
      </c>
      <c r="K99" s="14" t="s">
        <v>161</v>
      </c>
      <c r="L99" s="3"/>
      <c r="M99" s="3" t="s">
        <v>40</v>
      </c>
      <c r="N99" s="3" t="s">
        <v>39</v>
      </c>
      <c r="O99" s="3" t="s">
        <v>41</v>
      </c>
      <c r="P99" s="3" t="s">
        <v>45</v>
      </c>
      <c r="Q99" s="3" t="s">
        <v>77</v>
      </c>
      <c r="R99" s="3">
        <v>0</v>
      </c>
      <c r="S99" s="3">
        <v>0</v>
      </c>
      <c r="T99" s="3">
        <v>0</v>
      </c>
      <c r="U99" s="3">
        <v>0</v>
      </c>
      <c r="V99" s="25">
        <v>4</v>
      </c>
      <c r="W99" s="14">
        <v>20</v>
      </c>
      <c r="X99" s="14" t="s">
        <v>162</v>
      </c>
      <c r="Y99" s="4"/>
      <c r="Z99" s="4"/>
      <c r="AA99" s="4"/>
      <c r="AB99" s="4"/>
      <c r="AC99" s="4"/>
      <c r="AD99" s="5"/>
      <c r="AE99" s="6"/>
      <c r="AF99" s="6"/>
      <c r="AG99" s="10" t="s">
        <v>160</v>
      </c>
      <c r="AH99" s="14" t="s">
        <v>163</v>
      </c>
      <c r="AI99" s="10" t="s">
        <v>119</v>
      </c>
      <c r="AJ99" s="16" t="s">
        <v>125</v>
      </c>
      <c r="AK99" s="16" t="s">
        <v>43</v>
      </c>
      <c r="AL99" s="16">
        <v>208</v>
      </c>
      <c r="AM99" s="16">
        <v>518</v>
      </c>
      <c r="AN99" s="16">
        <v>0</v>
      </c>
      <c r="AO99" s="16">
        <v>0</v>
      </c>
      <c r="AP99" s="16">
        <v>726</v>
      </c>
      <c r="AQ99" s="16">
        <v>1452</v>
      </c>
      <c r="AR99" s="17">
        <v>0.28650137741046833</v>
      </c>
      <c r="AS99" s="17">
        <v>0.71349862258953167</v>
      </c>
      <c r="AT99" s="17">
        <v>0</v>
      </c>
      <c r="AU99" s="17">
        <v>0</v>
      </c>
      <c r="AV99" s="18">
        <f t="shared" si="3"/>
        <v>711.5</v>
      </c>
      <c r="AW99" s="18">
        <f t="shared" si="4"/>
        <v>1513.5</v>
      </c>
      <c r="AX99" s="14">
        <v>0</v>
      </c>
      <c r="AY99" s="14">
        <v>0</v>
      </c>
      <c r="AZ99" s="18">
        <f t="shared" si="8"/>
        <v>2225</v>
      </c>
      <c r="BA99" s="14">
        <v>1423</v>
      </c>
      <c r="BB99" s="14">
        <v>3027</v>
      </c>
      <c r="BC99" s="14">
        <v>0</v>
      </c>
      <c r="BD99" s="14">
        <v>0</v>
      </c>
      <c r="BE99" s="14">
        <f t="shared" si="9"/>
        <v>4450</v>
      </c>
      <c r="BF99" s="19">
        <f>[1]Analiza!$BG149*AR99</f>
        <v>0</v>
      </c>
      <c r="BG99" s="14">
        <f>[1]Analiza!$BG149*AS99</f>
        <v>0</v>
      </c>
      <c r="BH99" s="14">
        <f>[1]Analiza!$BG149*AT99</f>
        <v>0</v>
      </c>
      <c r="BI99" s="14">
        <f>[1]Analiza!$BG149*AU99</f>
        <v>0</v>
      </c>
      <c r="BJ99" s="50">
        <f t="shared" si="2"/>
        <v>0</v>
      </c>
      <c r="BK99" s="18">
        <f t="shared" si="5"/>
        <v>474.33333333333331</v>
      </c>
      <c r="BL99" s="18">
        <f t="shared" si="6"/>
        <v>1009</v>
      </c>
      <c r="BM99" s="18">
        <f t="shared" si="7"/>
        <v>1483.3333333333333</v>
      </c>
      <c r="BN99" s="51" t="s">
        <v>309</v>
      </c>
    </row>
    <row r="100" spans="1:68" x14ac:dyDescent="0.25">
      <c r="A100" s="7">
        <v>49</v>
      </c>
      <c r="B100" s="7"/>
      <c r="C100" s="11"/>
      <c r="D100" s="3"/>
      <c r="E100" s="3"/>
      <c r="F100" s="3"/>
      <c r="G100" s="3"/>
      <c r="H100" s="3"/>
      <c r="I100" s="3" t="s">
        <v>302</v>
      </c>
      <c r="J100" s="3" t="s">
        <v>184</v>
      </c>
      <c r="K100" s="21" t="s">
        <v>168</v>
      </c>
      <c r="L100" s="3" t="s">
        <v>68</v>
      </c>
      <c r="M100" s="3"/>
      <c r="N100" s="3"/>
      <c r="O100" s="3"/>
      <c r="P100" s="3"/>
      <c r="Q100" s="3"/>
      <c r="R100" s="3"/>
      <c r="S100" s="3"/>
      <c r="T100" s="3"/>
      <c r="U100" s="3"/>
      <c r="V100" s="28">
        <v>15</v>
      </c>
      <c r="W100" s="10">
        <v>25</v>
      </c>
      <c r="X100" s="14" t="s">
        <v>206</v>
      </c>
      <c r="Y100" s="4"/>
      <c r="Z100" s="4"/>
      <c r="AA100" s="4"/>
      <c r="AB100" s="4"/>
      <c r="AC100" s="4"/>
      <c r="AD100" s="5"/>
      <c r="AE100" s="6"/>
      <c r="AF100" s="6"/>
      <c r="AG100" s="10">
        <v>90888939</v>
      </c>
      <c r="AH100" s="10" t="s">
        <v>207</v>
      </c>
      <c r="AI100" s="10" t="s">
        <v>209</v>
      </c>
      <c r="AJ100" s="16"/>
      <c r="AK100" s="16"/>
      <c r="AL100" s="16"/>
      <c r="AM100" s="16"/>
      <c r="AN100" s="16"/>
      <c r="AO100" s="16"/>
      <c r="AP100" s="16"/>
      <c r="AQ100" s="16"/>
      <c r="AR100" s="17"/>
      <c r="AS100" s="17"/>
      <c r="AT100" s="17"/>
      <c r="AU100" s="17"/>
      <c r="AV100" s="18">
        <f t="shared" si="3"/>
        <v>26</v>
      </c>
      <c r="AW100" s="18">
        <f t="shared" si="4"/>
        <v>111.5</v>
      </c>
      <c r="AX100" s="14">
        <v>0</v>
      </c>
      <c r="AY100" s="14"/>
      <c r="AZ100" s="18">
        <f t="shared" si="8"/>
        <v>137.5</v>
      </c>
      <c r="BA100" s="14">
        <v>52</v>
      </c>
      <c r="BB100" s="14">
        <v>223</v>
      </c>
      <c r="BC100" s="14">
        <v>0</v>
      </c>
      <c r="BD100" s="14"/>
      <c r="BE100" s="14">
        <f t="shared" si="9"/>
        <v>275</v>
      </c>
      <c r="BF100" s="19"/>
      <c r="BG100" s="14"/>
      <c r="BH100" s="14"/>
      <c r="BI100" s="14"/>
      <c r="BJ100" s="50"/>
      <c r="BK100" s="18">
        <f t="shared" si="5"/>
        <v>17.333333333333332</v>
      </c>
      <c r="BL100" s="18">
        <f t="shared" si="6"/>
        <v>74.333333333333329</v>
      </c>
      <c r="BM100" s="18">
        <f t="shared" si="7"/>
        <v>91.666666666666657</v>
      </c>
      <c r="BN100" s="51" t="s">
        <v>309</v>
      </c>
    </row>
    <row r="101" spans="1:68" ht="30" x14ac:dyDescent="0.25">
      <c r="A101" s="7">
        <v>50</v>
      </c>
      <c r="B101" s="7">
        <v>1</v>
      </c>
      <c r="C101" s="11" t="s">
        <v>38</v>
      </c>
      <c r="D101" s="3" t="s">
        <v>72</v>
      </c>
      <c r="E101" s="3" t="s">
        <v>73</v>
      </c>
      <c r="F101" s="3" t="s">
        <v>74</v>
      </c>
      <c r="G101" s="3" t="s">
        <v>75</v>
      </c>
      <c r="H101" s="3" t="s">
        <v>76</v>
      </c>
      <c r="I101" s="3" t="s">
        <v>303</v>
      </c>
      <c r="J101" s="27" t="s">
        <v>256</v>
      </c>
      <c r="K101" s="27" t="s">
        <v>196</v>
      </c>
      <c r="L101" s="3"/>
      <c r="M101" s="3" t="s">
        <v>40</v>
      </c>
      <c r="N101" s="3" t="s">
        <v>39</v>
      </c>
      <c r="O101" s="3" t="s">
        <v>41</v>
      </c>
      <c r="P101" s="3" t="s">
        <v>45</v>
      </c>
      <c r="Q101" s="3" t="s">
        <v>77</v>
      </c>
      <c r="R101" s="3">
        <v>0</v>
      </c>
      <c r="S101" s="3">
        <v>0</v>
      </c>
      <c r="T101" s="3">
        <v>0</v>
      </c>
      <c r="U101" s="3">
        <v>0</v>
      </c>
      <c r="V101" s="25">
        <v>82.5</v>
      </c>
      <c r="W101" s="14">
        <v>315</v>
      </c>
      <c r="X101" s="14" t="s">
        <v>263</v>
      </c>
      <c r="Y101" s="4"/>
      <c r="Z101" s="4"/>
      <c r="AA101" s="4"/>
      <c r="AB101" s="4"/>
      <c r="AC101" s="4"/>
      <c r="AD101" s="5"/>
      <c r="AE101" s="6"/>
      <c r="AF101" s="6"/>
      <c r="AG101" s="14">
        <v>4020223</v>
      </c>
      <c r="AH101" s="6"/>
      <c r="AI101" s="29" t="s">
        <v>120</v>
      </c>
      <c r="AJ101" s="16" t="s">
        <v>125</v>
      </c>
      <c r="AK101" s="16" t="s">
        <v>43</v>
      </c>
      <c r="AL101" s="16">
        <v>2660</v>
      </c>
      <c r="AM101" s="16">
        <v>5571</v>
      </c>
      <c r="AN101" s="16">
        <v>0</v>
      </c>
      <c r="AO101" s="16">
        <v>0</v>
      </c>
      <c r="AP101" s="16">
        <v>8231</v>
      </c>
      <c r="AQ101" s="16">
        <v>16462</v>
      </c>
      <c r="AR101" s="17">
        <v>0.32316850929413193</v>
      </c>
      <c r="AS101" s="17">
        <v>0.67683149070586801</v>
      </c>
      <c r="AT101" s="17">
        <v>0</v>
      </c>
      <c r="AU101" s="17">
        <v>0</v>
      </c>
      <c r="AV101" s="18">
        <f t="shared" si="3"/>
        <v>36000</v>
      </c>
      <c r="AW101" s="18">
        <f t="shared" si="4"/>
        <v>0</v>
      </c>
      <c r="AX101" s="14">
        <v>0</v>
      </c>
      <c r="AY101" s="14">
        <v>0</v>
      </c>
      <c r="AZ101" s="18">
        <f t="shared" si="8"/>
        <v>36000</v>
      </c>
      <c r="BA101" s="34">
        <v>72000</v>
      </c>
      <c r="BB101" s="14">
        <v>0</v>
      </c>
      <c r="BC101" s="14">
        <v>0</v>
      </c>
      <c r="BD101" s="14">
        <v>0</v>
      </c>
      <c r="BE101" s="14">
        <f t="shared" si="9"/>
        <v>72000</v>
      </c>
      <c r="BF101" s="19">
        <f>[1]Analiza!$BG150*AR101</f>
        <v>0</v>
      </c>
      <c r="BG101" s="14">
        <f>[1]Analiza!$BG150*AS101</f>
        <v>0</v>
      </c>
      <c r="BH101" s="14">
        <f>[1]Analiza!$BG150*AT101</f>
        <v>0</v>
      </c>
      <c r="BI101" s="14">
        <f>[1]Analiza!$BG150*AU101</f>
        <v>0</v>
      </c>
      <c r="BJ101" s="50">
        <f t="shared" si="2"/>
        <v>0</v>
      </c>
      <c r="BK101" s="18">
        <f t="shared" si="5"/>
        <v>24000</v>
      </c>
      <c r="BL101" s="18">
        <f t="shared" si="6"/>
        <v>0</v>
      </c>
      <c r="BM101" s="18">
        <f t="shared" si="7"/>
        <v>24000</v>
      </c>
      <c r="BN101" s="51" t="s">
        <v>309</v>
      </c>
    </row>
    <row r="102" spans="1:68" ht="30" x14ac:dyDescent="0.25">
      <c r="A102" s="7">
        <v>51</v>
      </c>
      <c r="B102" s="7">
        <v>1</v>
      </c>
      <c r="C102" s="11" t="s">
        <v>38</v>
      </c>
      <c r="D102" s="3" t="s">
        <v>72</v>
      </c>
      <c r="E102" s="3" t="s">
        <v>73</v>
      </c>
      <c r="F102" s="3" t="s">
        <v>74</v>
      </c>
      <c r="G102" s="3" t="s">
        <v>75</v>
      </c>
      <c r="H102" s="3" t="s">
        <v>76</v>
      </c>
      <c r="I102" s="3" t="s">
        <v>304</v>
      </c>
      <c r="J102" s="27" t="s">
        <v>257</v>
      </c>
      <c r="K102" s="27" t="s">
        <v>196</v>
      </c>
      <c r="L102" s="3"/>
      <c r="M102" s="3" t="s">
        <v>40</v>
      </c>
      <c r="N102" s="3" t="s">
        <v>39</v>
      </c>
      <c r="O102" s="3" t="s">
        <v>41</v>
      </c>
      <c r="P102" s="3" t="s">
        <v>45</v>
      </c>
      <c r="Q102" s="3" t="s">
        <v>77</v>
      </c>
      <c r="R102" s="3">
        <v>0</v>
      </c>
      <c r="S102" s="3">
        <v>0</v>
      </c>
      <c r="T102" s="3">
        <v>0</v>
      </c>
      <c r="U102" s="3">
        <v>0</v>
      </c>
      <c r="V102" s="25">
        <v>52</v>
      </c>
      <c r="W102" s="14">
        <v>100</v>
      </c>
      <c r="X102" s="14" t="s">
        <v>263</v>
      </c>
      <c r="Y102" s="4"/>
      <c r="Z102" s="4"/>
      <c r="AA102" s="4"/>
      <c r="AB102" s="4"/>
      <c r="AC102" s="4"/>
      <c r="AD102" s="5"/>
      <c r="AE102" s="6"/>
      <c r="AF102" s="6"/>
      <c r="AG102" s="14">
        <v>1372622</v>
      </c>
      <c r="AH102" s="6"/>
      <c r="AI102" s="29" t="s">
        <v>121</v>
      </c>
      <c r="AJ102" s="16" t="s">
        <v>125</v>
      </c>
      <c r="AK102" s="16" t="s">
        <v>43</v>
      </c>
      <c r="AL102" s="16">
        <v>12184</v>
      </c>
      <c r="AM102" s="16">
        <v>25489</v>
      </c>
      <c r="AN102" s="16">
        <v>0</v>
      </c>
      <c r="AO102" s="16">
        <v>0</v>
      </c>
      <c r="AP102" s="16">
        <v>37673</v>
      </c>
      <c r="AQ102" s="16">
        <v>75346</v>
      </c>
      <c r="AR102" s="17">
        <v>0.32341464709473627</v>
      </c>
      <c r="AS102" s="17">
        <v>0.67658535290526367</v>
      </c>
      <c r="AT102" s="17">
        <v>0</v>
      </c>
      <c r="AU102" s="17">
        <v>0</v>
      </c>
      <c r="AV102" s="18">
        <f t="shared" si="3"/>
        <v>4500</v>
      </c>
      <c r="AW102" s="18">
        <f t="shared" si="4"/>
        <v>0</v>
      </c>
      <c r="AX102" s="14">
        <v>0</v>
      </c>
      <c r="AY102" s="14">
        <v>0</v>
      </c>
      <c r="AZ102" s="18">
        <f t="shared" si="8"/>
        <v>4500</v>
      </c>
      <c r="BA102" s="27">
        <v>9000</v>
      </c>
      <c r="BB102" s="14">
        <v>0</v>
      </c>
      <c r="BC102" s="14">
        <v>0</v>
      </c>
      <c r="BD102" s="14">
        <v>0</v>
      </c>
      <c r="BE102" s="14">
        <f t="shared" si="9"/>
        <v>9000</v>
      </c>
      <c r="BF102" s="19">
        <f>[1]Analiza!$BG151*AR102</f>
        <v>0</v>
      </c>
      <c r="BG102" s="14">
        <f>[1]Analiza!$BG151*AS102</f>
        <v>0</v>
      </c>
      <c r="BH102" s="14">
        <f>[1]Analiza!$BG151*AT102</f>
        <v>0</v>
      </c>
      <c r="BI102" s="14">
        <f>[1]Analiza!$BG151*AU102</f>
        <v>0</v>
      </c>
      <c r="BJ102" s="50">
        <f t="shared" si="2"/>
        <v>0</v>
      </c>
      <c r="BK102" s="18">
        <f t="shared" si="5"/>
        <v>3000</v>
      </c>
      <c r="BL102" s="18">
        <f t="shared" si="6"/>
        <v>0</v>
      </c>
      <c r="BM102" s="18">
        <f t="shared" si="7"/>
        <v>3000</v>
      </c>
      <c r="BN102" s="51" t="s">
        <v>309</v>
      </c>
    </row>
    <row r="103" spans="1:68" ht="30" x14ac:dyDescent="0.25">
      <c r="A103" s="7">
        <v>52</v>
      </c>
      <c r="B103" s="7">
        <v>1</v>
      </c>
      <c r="C103" s="11" t="s">
        <v>38</v>
      </c>
      <c r="D103" s="3" t="s">
        <v>72</v>
      </c>
      <c r="E103" s="3" t="s">
        <v>73</v>
      </c>
      <c r="F103" s="3" t="s">
        <v>74</v>
      </c>
      <c r="G103" s="3" t="s">
        <v>75</v>
      </c>
      <c r="H103" s="3" t="s">
        <v>76</v>
      </c>
      <c r="I103" s="3" t="s">
        <v>305</v>
      </c>
      <c r="J103" s="27" t="s">
        <v>259</v>
      </c>
      <c r="K103" s="27" t="s">
        <v>168</v>
      </c>
      <c r="L103" s="3" t="s">
        <v>262</v>
      </c>
      <c r="M103" s="3" t="s">
        <v>40</v>
      </c>
      <c r="N103" s="3" t="s">
        <v>39</v>
      </c>
      <c r="O103" s="3" t="s">
        <v>41</v>
      </c>
      <c r="P103" s="3" t="s">
        <v>45</v>
      </c>
      <c r="Q103" s="3" t="s">
        <v>77</v>
      </c>
      <c r="R103" s="3">
        <v>0</v>
      </c>
      <c r="S103" s="3">
        <v>0</v>
      </c>
      <c r="T103" s="3">
        <v>0</v>
      </c>
      <c r="U103" s="3">
        <v>0</v>
      </c>
      <c r="V103" s="25">
        <v>40</v>
      </c>
      <c r="W103" s="14">
        <v>63</v>
      </c>
      <c r="X103" s="14" t="s">
        <v>263</v>
      </c>
      <c r="Y103" s="4"/>
      <c r="Z103" s="4"/>
      <c r="AA103" s="4"/>
      <c r="AB103" s="4"/>
      <c r="AC103" s="4"/>
      <c r="AD103" s="5"/>
      <c r="AE103" s="6"/>
      <c r="AF103" s="6"/>
      <c r="AG103" s="14">
        <v>3279822</v>
      </c>
      <c r="AH103" s="14" t="s">
        <v>268</v>
      </c>
      <c r="AI103" s="29" t="s">
        <v>122</v>
      </c>
      <c r="AJ103" s="16" t="s">
        <v>125</v>
      </c>
      <c r="AK103" s="16" t="s">
        <v>43</v>
      </c>
      <c r="AL103" s="16">
        <v>818</v>
      </c>
      <c r="AM103" s="16">
        <v>1562</v>
      </c>
      <c r="AN103" s="16">
        <v>0</v>
      </c>
      <c r="AO103" s="16">
        <v>0</v>
      </c>
      <c r="AP103" s="16">
        <v>2380</v>
      </c>
      <c r="AQ103" s="16">
        <v>4760</v>
      </c>
      <c r="AR103" s="17">
        <v>0.34369747899159664</v>
      </c>
      <c r="AS103" s="17">
        <v>0.65630252100840336</v>
      </c>
      <c r="AT103" s="17">
        <v>0</v>
      </c>
      <c r="AU103" s="17">
        <v>0</v>
      </c>
      <c r="AV103" s="18">
        <v>0</v>
      </c>
      <c r="AW103" s="18">
        <f t="shared" si="4"/>
        <v>0</v>
      </c>
      <c r="AX103" s="14">
        <v>0</v>
      </c>
      <c r="AY103" s="14">
        <v>0</v>
      </c>
      <c r="AZ103" s="18">
        <f t="shared" si="8"/>
        <v>0</v>
      </c>
      <c r="BA103" s="27">
        <v>48237</v>
      </c>
      <c r="BB103" s="14">
        <v>0</v>
      </c>
      <c r="BC103" s="14">
        <v>0</v>
      </c>
      <c r="BD103" s="14">
        <v>0</v>
      </c>
      <c r="BE103" s="14">
        <f t="shared" si="9"/>
        <v>48237</v>
      </c>
      <c r="BF103" s="19">
        <f>[1]Analiza!$BG153*AR103</f>
        <v>0</v>
      </c>
      <c r="BG103" s="14">
        <f>[1]Analiza!$BG153*AS103</f>
        <v>0</v>
      </c>
      <c r="BH103" s="14">
        <f>[1]Analiza!$BG153*AT103</f>
        <v>0</v>
      </c>
      <c r="BI103" s="14">
        <f>[1]Analiza!$BG153*AU103</f>
        <v>0</v>
      </c>
      <c r="BJ103" s="50">
        <f t="shared" si="2"/>
        <v>0</v>
      </c>
      <c r="BK103" s="18">
        <f t="shared" si="5"/>
        <v>16079</v>
      </c>
      <c r="BL103" s="18">
        <f t="shared" si="6"/>
        <v>0</v>
      </c>
      <c r="BM103" s="18">
        <f t="shared" si="7"/>
        <v>16079</v>
      </c>
      <c r="BN103" s="53" t="s">
        <v>310</v>
      </c>
    </row>
    <row r="104" spans="1:68" x14ac:dyDescent="0.25">
      <c r="A104" s="7">
        <v>53</v>
      </c>
      <c r="B104" s="7">
        <v>1</v>
      </c>
      <c r="C104" s="11" t="s">
        <v>38</v>
      </c>
      <c r="D104" s="3" t="s">
        <v>72</v>
      </c>
      <c r="E104" s="3" t="s">
        <v>73</v>
      </c>
      <c r="F104" s="3" t="s">
        <v>74</v>
      </c>
      <c r="G104" s="3" t="s">
        <v>75</v>
      </c>
      <c r="H104" s="3" t="s">
        <v>76</v>
      </c>
      <c r="I104" s="3" t="s">
        <v>306</v>
      </c>
      <c r="J104" s="14" t="s">
        <v>264</v>
      </c>
      <c r="K104" s="3" t="s">
        <v>265</v>
      </c>
      <c r="L104" s="3"/>
      <c r="M104" s="3" t="s">
        <v>40</v>
      </c>
      <c r="N104" s="3" t="s">
        <v>39</v>
      </c>
      <c r="O104" s="3" t="s">
        <v>41</v>
      </c>
      <c r="P104" s="3" t="s">
        <v>45</v>
      </c>
      <c r="Q104" s="3" t="s">
        <v>77</v>
      </c>
      <c r="R104" s="3">
        <v>0</v>
      </c>
      <c r="S104" s="3">
        <v>0</v>
      </c>
      <c r="T104" s="3">
        <v>0</v>
      </c>
      <c r="U104" s="3">
        <v>0</v>
      </c>
      <c r="V104" s="28">
        <v>35</v>
      </c>
      <c r="W104" s="14" t="s">
        <v>266</v>
      </c>
      <c r="X104" s="14" t="s">
        <v>267</v>
      </c>
      <c r="Y104" s="4"/>
      <c r="Z104" s="4"/>
      <c r="AA104" s="4"/>
      <c r="AB104" s="4"/>
      <c r="AC104" s="4"/>
      <c r="AD104" s="5"/>
      <c r="AE104" s="6"/>
      <c r="AF104" s="6"/>
      <c r="AG104" s="14">
        <v>35987</v>
      </c>
      <c r="AH104" s="6"/>
      <c r="AI104" s="29" t="s">
        <v>124</v>
      </c>
      <c r="AJ104" s="16" t="s">
        <v>125</v>
      </c>
      <c r="AK104" s="16" t="s">
        <v>43</v>
      </c>
      <c r="AL104" s="16">
        <v>4960</v>
      </c>
      <c r="AM104" s="16">
        <v>9764</v>
      </c>
      <c r="AN104" s="16">
        <v>0</v>
      </c>
      <c r="AO104" s="16">
        <v>0</v>
      </c>
      <c r="AP104" s="16">
        <v>14724</v>
      </c>
      <c r="AQ104" s="16">
        <v>29448</v>
      </c>
      <c r="AR104" s="17">
        <v>0.33686498234175494</v>
      </c>
      <c r="AS104" s="17">
        <v>0.66313501765824501</v>
      </c>
      <c r="AT104" s="17">
        <v>0</v>
      </c>
      <c r="AU104" s="17">
        <v>0</v>
      </c>
      <c r="AV104" s="18">
        <f t="shared" si="3"/>
        <v>30527</v>
      </c>
      <c r="AW104" s="18">
        <f t="shared" si="4"/>
        <v>0</v>
      </c>
      <c r="AX104" s="14">
        <v>0</v>
      </c>
      <c r="AY104" s="14">
        <v>0</v>
      </c>
      <c r="AZ104" s="18">
        <f t="shared" si="8"/>
        <v>30527</v>
      </c>
      <c r="BA104" s="18">
        <v>61054</v>
      </c>
      <c r="BB104" s="14">
        <v>0</v>
      </c>
      <c r="BC104" s="14">
        <v>0</v>
      </c>
      <c r="BD104" s="14">
        <v>0</v>
      </c>
      <c r="BE104" s="14">
        <f t="shared" si="9"/>
        <v>61054</v>
      </c>
      <c r="BF104" s="19">
        <f>[1]Analiza!$BG154*AR104</f>
        <v>0</v>
      </c>
      <c r="BG104" s="14">
        <f>[1]Analiza!$BG154*AS104</f>
        <v>0</v>
      </c>
      <c r="BH104" s="14">
        <f>[1]Analiza!$BG154*AT104</f>
        <v>0</v>
      </c>
      <c r="BI104" s="14">
        <f>[1]Analiza!$BG154*AU104</f>
        <v>0</v>
      </c>
      <c r="BJ104" s="50">
        <f t="shared" si="2"/>
        <v>0</v>
      </c>
      <c r="BK104" s="18">
        <f t="shared" si="5"/>
        <v>20351.333333333332</v>
      </c>
      <c r="BL104" s="18">
        <f t="shared" si="6"/>
        <v>0</v>
      </c>
      <c r="BM104" s="18">
        <f t="shared" si="7"/>
        <v>20351.333333333332</v>
      </c>
      <c r="BN104" s="51" t="s">
        <v>309</v>
      </c>
    </row>
    <row r="105" spans="1:68" x14ac:dyDescent="0.25">
      <c r="A105" s="7"/>
      <c r="B105" s="7"/>
      <c r="C105" s="11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4"/>
      <c r="Z105" s="4"/>
      <c r="AA105" s="4"/>
      <c r="AB105" s="4"/>
      <c r="AC105" s="4"/>
      <c r="AD105" s="5"/>
      <c r="AE105" s="6"/>
      <c r="AF105" s="6"/>
      <c r="AG105" s="6"/>
      <c r="AH105" s="6"/>
      <c r="AI105" s="4"/>
      <c r="AJ105" s="16"/>
      <c r="AK105" s="16"/>
      <c r="AL105" s="16"/>
      <c r="AM105" s="16"/>
      <c r="AN105" s="16"/>
      <c r="AO105" s="16"/>
      <c r="AP105" s="16"/>
      <c r="AQ105" s="16"/>
      <c r="AR105" s="17"/>
      <c r="AS105" s="17"/>
      <c r="AT105" s="17"/>
      <c r="AU105" s="17"/>
      <c r="AV105" s="18"/>
      <c r="AW105" s="18"/>
      <c r="AX105" s="14"/>
      <c r="AY105" s="14"/>
      <c r="AZ105" s="18"/>
      <c r="BA105" s="14"/>
      <c r="BB105" s="14"/>
      <c r="BC105" s="14"/>
      <c r="BD105" s="14"/>
      <c r="BE105" s="14"/>
      <c r="BF105" s="19"/>
      <c r="BG105" s="14"/>
      <c r="BH105" s="14"/>
      <c r="BI105" s="14"/>
      <c r="BJ105" s="20"/>
      <c r="BK105" s="40"/>
      <c r="BL105" s="40"/>
      <c r="BM105" s="40"/>
    </row>
    <row r="106" spans="1:68" x14ac:dyDescent="0.25">
      <c r="A106" s="7"/>
      <c r="B106" s="7"/>
      <c r="C106" s="11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4"/>
      <c r="Z106" s="4"/>
      <c r="AA106" s="4"/>
      <c r="AB106" s="4"/>
      <c r="AC106" s="4"/>
      <c r="AD106" s="5"/>
      <c r="AE106" s="6"/>
      <c r="AF106" s="6"/>
      <c r="AG106" s="6"/>
      <c r="AH106" s="6"/>
      <c r="AI106" s="4"/>
      <c r="AJ106" s="16"/>
      <c r="AK106" s="16"/>
      <c r="AL106" s="16"/>
      <c r="AM106" s="16"/>
      <c r="AN106" s="16"/>
      <c r="AO106" s="16"/>
      <c r="AP106" s="16"/>
      <c r="AQ106" s="16"/>
      <c r="AR106" s="17"/>
      <c r="AS106" s="17"/>
      <c r="AT106" s="17"/>
      <c r="AU106" s="17"/>
      <c r="AV106" s="18"/>
      <c r="AW106" s="18"/>
      <c r="AX106" s="14"/>
      <c r="AY106" s="14"/>
      <c r="AZ106" s="18"/>
      <c r="BA106" s="14"/>
      <c r="BB106" s="14"/>
      <c r="BC106" s="14"/>
      <c r="BD106" s="14"/>
      <c r="BE106" s="14"/>
      <c r="BF106" s="19"/>
      <c r="BG106" s="14"/>
      <c r="BH106" s="14"/>
      <c r="BI106" s="14"/>
      <c r="BJ106" s="20"/>
      <c r="BK106" s="40"/>
      <c r="BL106" s="40"/>
      <c r="BM106" s="40"/>
    </row>
    <row r="107" spans="1:68" x14ac:dyDescent="0.25">
      <c r="AG107" s="14" t="s">
        <v>272</v>
      </c>
      <c r="AH107" s="14" t="s">
        <v>312</v>
      </c>
      <c r="AI107" s="45">
        <f>SUM(AH108:AH114)</f>
        <v>1684711</v>
      </c>
      <c r="AK107" s="30" t="s">
        <v>37</v>
      </c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2">
        <f t="shared" ref="AV107:BE107" si="12">SUM(AV52:AV106)</f>
        <v>282228.59999999998</v>
      </c>
      <c r="AW107" s="33">
        <f t="shared" si="12"/>
        <v>159697.4</v>
      </c>
      <c r="AX107" s="33">
        <f t="shared" si="12"/>
        <v>0</v>
      </c>
      <c r="AY107" s="33">
        <f t="shared" si="12"/>
        <v>0</v>
      </c>
      <c r="AZ107" s="35">
        <f>SUM(AZ52:AZ106)</f>
        <v>441926</v>
      </c>
      <c r="BA107" s="33">
        <f t="shared" si="12"/>
        <v>612694.19999999995</v>
      </c>
      <c r="BB107" s="33">
        <f t="shared" si="12"/>
        <v>319394.8</v>
      </c>
      <c r="BC107" s="33">
        <f t="shared" si="12"/>
        <v>0</v>
      </c>
      <c r="BD107" s="33">
        <f t="shared" si="12"/>
        <v>0</v>
      </c>
      <c r="BE107" s="35">
        <f t="shared" si="12"/>
        <v>932089</v>
      </c>
      <c r="BK107" s="33">
        <f t="shared" ref="BK107:BO107" si="13">SUM(BK52:BK106)</f>
        <v>204231.4</v>
      </c>
      <c r="BL107" s="33">
        <f t="shared" si="13"/>
        <v>106464.93333333332</v>
      </c>
      <c r="BM107" s="35">
        <f t="shared" si="13"/>
        <v>310696.33333333331</v>
      </c>
      <c r="BN107" s="62"/>
      <c r="BO107" s="44"/>
      <c r="BP107" s="40"/>
    </row>
    <row r="108" spans="1:68" x14ac:dyDescent="0.25">
      <c r="AG108" s="14" t="s">
        <v>46</v>
      </c>
      <c r="AH108" s="32">
        <f>SUM(AZ108,BE108,BM108)</f>
        <v>20390.333333333332</v>
      </c>
      <c r="AI108" s="14" t="s">
        <v>46</v>
      </c>
      <c r="AV108" s="32">
        <f>SUM(AV52:AV61)</f>
        <v>5561</v>
      </c>
      <c r="AW108" s="32">
        <f>SUM(AW52:AW61)</f>
        <v>0</v>
      </c>
      <c r="AX108" s="14"/>
      <c r="AY108" s="14"/>
      <c r="AZ108" s="36">
        <f>SUM(AZ52:AZ61)</f>
        <v>5561</v>
      </c>
      <c r="BA108" s="32">
        <f>SUM(BA52:BA61)</f>
        <v>11122</v>
      </c>
      <c r="BB108" s="32">
        <f>SUM(BB52:BB61)</f>
        <v>0</v>
      </c>
      <c r="BC108" s="14"/>
      <c r="BD108" s="14"/>
      <c r="BE108" s="36">
        <f>SUM(BE52:BE61)</f>
        <v>11122</v>
      </c>
      <c r="BK108" s="32">
        <f>SUM(BK52:BK61)</f>
        <v>3707.333333333333</v>
      </c>
      <c r="BL108" s="32">
        <f>SUM(BL52:BL61)</f>
        <v>0</v>
      </c>
      <c r="BM108" s="36">
        <f>SUM(BM52:BM61)</f>
        <v>3707.333333333333</v>
      </c>
      <c r="BN108" s="63"/>
      <c r="BO108" s="42"/>
      <c r="BP108" s="40"/>
    </row>
    <row r="109" spans="1:68" x14ac:dyDescent="0.25">
      <c r="AG109" s="14" t="s">
        <v>44</v>
      </c>
      <c r="AH109" s="32">
        <f>SUM(AZ109,BE109,BM109)</f>
        <v>354671.16666666669</v>
      </c>
      <c r="AI109" s="14" t="s">
        <v>44</v>
      </c>
      <c r="AV109" s="32">
        <f>SUM(AV62:AV81)</f>
        <v>96728.5</v>
      </c>
      <c r="AW109" s="32">
        <f>SUM(AW62:AW81)</f>
        <v>0</v>
      </c>
      <c r="AX109" s="14"/>
      <c r="AY109" s="14"/>
      <c r="AZ109" s="36">
        <f>SUM(AZ62:AZ81)</f>
        <v>96728.5</v>
      </c>
      <c r="BA109" s="32">
        <f>SUM(BA62:BA81)</f>
        <v>193457</v>
      </c>
      <c r="BB109" s="32">
        <f>SUM(BB62:BB81)</f>
        <v>0</v>
      </c>
      <c r="BC109" s="14"/>
      <c r="BD109" s="14"/>
      <c r="BE109" s="36">
        <f>SUM(BE62:BE81)</f>
        <v>193457</v>
      </c>
      <c r="BK109" s="32">
        <f>SUM(BK62:BK81)</f>
        <v>64485.666666666664</v>
      </c>
      <c r="BL109" s="32">
        <f>SUM(BL62:BL81)</f>
        <v>0</v>
      </c>
      <c r="BM109" s="36">
        <f>SUM(BM62:BM81)</f>
        <v>64485.666666666664</v>
      </c>
      <c r="BN109" s="63"/>
      <c r="BO109" s="42"/>
      <c r="BP109" s="40"/>
    </row>
    <row r="110" spans="1:68" x14ac:dyDescent="0.25">
      <c r="AG110" s="14" t="s">
        <v>42</v>
      </c>
      <c r="AH110" s="32">
        <f>SUM(AZ110,BE110,BM110)</f>
        <v>976239</v>
      </c>
      <c r="AI110" s="14" t="s">
        <v>42</v>
      </c>
      <c r="AV110" s="33">
        <f>SUM(AV82:AV98)</f>
        <v>108174.59999999999</v>
      </c>
      <c r="AW110" s="33">
        <f>SUM(AW82:AW98)</f>
        <v>158072.4</v>
      </c>
      <c r="AX110" s="14"/>
      <c r="AY110" s="14"/>
      <c r="AZ110" s="35">
        <f>SUM(AZ82:AZ98)</f>
        <v>266247</v>
      </c>
      <c r="BA110" s="33">
        <f>SUM(BA82:BA98)</f>
        <v>216349.19999999998</v>
      </c>
      <c r="BB110" s="33">
        <f>SUM(BB82:BB98)</f>
        <v>316144.8</v>
      </c>
      <c r="BC110" s="14"/>
      <c r="BD110" s="14"/>
      <c r="BE110" s="35">
        <f>SUM(BE82:BE98)</f>
        <v>532494</v>
      </c>
      <c r="BK110" s="33">
        <f>SUM(BK82:BK98)</f>
        <v>72116.39999999998</v>
      </c>
      <c r="BL110" s="33">
        <f>SUM(BL82:BL98)</f>
        <v>105381.59999999999</v>
      </c>
      <c r="BM110" s="35">
        <f>SUM(BM82:BM98)</f>
        <v>177498</v>
      </c>
      <c r="BN110" s="63"/>
      <c r="BO110" s="44"/>
      <c r="BP110" s="40"/>
    </row>
    <row r="111" spans="1:68" x14ac:dyDescent="0.25">
      <c r="AG111" s="14" t="s">
        <v>162</v>
      </c>
      <c r="AH111" s="32">
        <f>SUM(AZ111,BE111,BM111)</f>
        <v>8158.333333333333</v>
      </c>
      <c r="AI111" s="14" t="s">
        <v>162</v>
      </c>
      <c r="AV111" s="32">
        <f>AV99</f>
        <v>711.5</v>
      </c>
      <c r="AW111" s="32">
        <f>AW99</f>
        <v>1513.5</v>
      </c>
      <c r="AX111" s="14"/>
      <c r="AY111" s="14"/>
      <c r="AZ111" s="36">
        <f t="shared" ref="AZ111:BB112" si="14">AZ99</f>
        <v>2225</v>
      </c>
      <c r="BA111" s="32">
        <f t="shared" si="14"/>
        <v>1423</v>
      </c>
      <c r="BB111" s="32">
        <f t="shared" si="14"/>
        <v>3027</v>
      </c>
      <c r="BC111" s="14"/>
      <c r="BD111" s="14"/>
      <c r="BE111" s="36">
        <f>BE99</f>
        <v>4450</v>
      </c>
      <c r="BK111" s="32">
        <f t="shared" ref="BK111:BL111" si="15">BK99</f>
        <v>474.33333333333331</v>
      </c>
      <c r="BL111" s="32">
        <f t="shared" si="15"/>
        <v>1009</v>
      </c>
      <c r="BM111" s="36">
        <f>BM99</f>
        <v>1483.3333333333333</v>
      </c>
      <c r="BN111" s="63"/>
      <c r="BO111" s="42"/>
      <c r="BP111" s="40"/>
    </row>
    <row r="112" spans="1:68" x14ac:dyDescent="0.25">
      <c r="AG112" s="14" t="s">
        <v>206</v>
      </c>
      <c r="AH112" s="32">
        <f>SUM(AZ112,BE112,BM112)</f>
        <v>504.16666666666663</v>
      </c>
      <c r="AI112" s="14" t="s">
        <v>206</v>
      </c>
      <c r="AV112" s="32">
        <f>AV100</f>
        <v>26</v>
      </c>
      <c r="AW112" s="32">
        <f>AW100</f>
        <v>111.5</v>
      </c>
      <c r="AX112" s="14"/>
      <c r="AY112" s="14"/>
      <c r="AZ112" s="36">
        <f t="shared" si="14"/>
        <v>137.5</v>
      </c>
      <c r="BA112" s="32">
        <f t="shared" si="14"/>
        <v>52</v>
      </c>
      <c r="BB112" s="32">
        <f t="shared" si="14"/>
        <v>223</v>
      </c>
      <c r="BC112" s="14"/>
      <c r="BD112" s="14"/>
      <c r="BE112" s="36">
        <f>BE100</f>
        <v>275</v>
      </c>
      <c r="BK112" s="32">
        <f t="shared" ref="BK112:BL112" si="16">BK100</f>
        <v>17.333333333333332</v>
      </c>
      <c r="BL112" s="32">
        <f t="shared" si="16"/>
        <v>74.333333333333329</v>
      </c>
      <c r="BM112" s="36">
        <f>BM100</f>
        <v>91.666666666666657</v>
      </c>
      <c r="BN112" s="63"/>
      <c r="BO112" s="42"/>
      <c r="BP112" s="40"/>
    </row>
    <row r="113" spans="33:68" x14ac:dyDescent="0.25">
      <c r="AG113" s="14" t="s">
        <v>263</v>
      </c>
      <c r="AH113" s="32">
        <f>SUM(AZ113,BE113,BM113)</f>
        <v>212816</v>
      </c>
      <c r="AI113" s="14" t="s">
        <v>263</v>
      </c>
      <c r="AV113" s="32">
        <f>SUM(AV101:AV103)</f>
        <v>40500</v>
      </c>
      <c r="AW113" s="32">
        <f>SUM(AW101:AW103)</f>
        <v>0</v>
      </c>
      <c r="AX113" s="14"/>
      <c r="AY113" s="14"/>
      <c r="AZ113" s="36">
        <f>SUM(AZ101:AZ103)</f>
        <v>40500</v>
      </c>
      <c r="BA113" s="32">
        <f>SUM(BA101:BA103)</f>
        <v>129237</v>
      </c>
      <c r="BB113" s="32">
        <f>SUM(BB101:BB103)</f>
        <v>0</v>
      </c>
      <c r="BC113" s="14"/>
      <c r="BD113" s="14"/>
      <c r="BE113" s="36">
        <f>SUM(BE101:BE103)</f>
        <v>129237</v>
      </c>
      <c r="BK113" s="32">
        <f>SUM(BK101:BK103)</f>
        <v>43079</v>
      </c>
      <c r="BL113" s="32">
        <f>SUM(BL101:BL103)</f>
        <v>0</v>
      </c>
      <c r="BM113" s="36">
        <f>SUM(BM101:BM103)</f>
        <v>43079</v>
      </c>
      <c r="BN113" s="63"/>
      <c r="BO113" s="42"/>
      <c r="BP113" s="40"/>
    </row>
    <row r="114" spans="33:68" x14ac:dyDescent="0.25">
      <c r="AG114" s="14" t="s">
        <v>267</v>
      </c>
      <c r="AH114" s="32">
        <f>SUM(AZ114,BE114,BM114)</f>
        <v>111932</v>
      </c>
      <c r="AI114" s="40"/>
      <c r="AV114" s="18">
        <v>50878</v>
      </c>
      <c r="AW114" s="39">
        <v>0</v>
      </c>
      <c r="AX114" s="46"/>
      <c r="AY114" s="46"/>
      <c r="AZ114" s="47">
        <v>30527</v>
      </c>
      <c r="BA114" s="39">
        <v>61054</v>
      </c>
      <c r="BB114" s="39">
        <v>0</v>
      </c>
      <c r="BC114" s="46"/>
      <c r="BD114" s="46"/>
      <c r="BE114" s="47">
        <v>61054</v>
      </c>
      <c r="BK114" s="32">
        <v>61054</v>
      </c>
      <c r="BL114" s="32">
        <v>0</v>
      </c>
      <c r="BM114" s="36">
        <v>20351</v>
      </c>
      <c r="BN114" s="63"/>
      <c r="BO114" s="42"/>
      <c r="BP114" s="40"/>
    </row>
    <row r="115" spans="33:68" x14ac:dyDescent="0.25">
      <c r="AG115" s="14" t="s">
        <v>273</v>
      </c>
      <c r="AH115" s="14" t="s">
        <v>312</v>
      </c>
      <c r="AI115" s="45">
        <f>SUM(AH116:AH122)</f>
        <v>363707.00846666662</v>
      </c>
      <c r="AK115" s="37" t="s">
        <v>37</v>
      </c>
      <c r="AL115" s="38"/>
      <c r="AM115" s="38"/>
      <c r="AN115" s="38"/>
      <c r="AO115" s="38"/>
      <c r="AP115" s="38"/>
      <c r="AQ115" s="38"/>
      <c r="AR115" s="38"/>
      <c r="AS115" s="38"/>
      <c r="AT115" s="38"/>
      <c r="AU115" s="64"/>
      <c r="AV115" s="65"/>
      <c r="AW115" s="66"/>
      <c r="AX115" s="66">
        <f>SUM(AX59:AX113)</f>
        <v>0</v>
      </c>
      <c r="AY115" s="66">
        <f>SUM(AY59:AY113)</f>
        <v>0</v>
      </c>
      <c r="AZ115" s="67"/>
      <c r="BA115" s="66"/>
      <c r="BB115" s="66"/>
      <c r="BC115" s="66">
        <f>SUM(BC59:BC113)</f>
        <v>0</v>
      </c>
      <c r="BD115" s="66">
        <f>SUM(BD59:BD113)</f>
        <v>0</v>
      </c>
      <c r="BE115" s="67"/>
    </row>
    <row r="116" spans="33:68" x14ac:dyDescent="0.25">
      <c r="AG116" s="14" t="s">
        <v>46</v>
      </c>
      <c r="AH116" s="32">
        <f>AH108*0.2546</f>
        <v>5191.378866666666</v>
      </c>
      <c r="AI116" s="40" t="s">
        <v>307</v>
      </c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1"/>
      <c r="AW116" s="41"/>
      <c r="AX116" s="40"/>
      <c r="AY116" s="40"/>
      <c r="AZ116" s="42"/>
      <c r="BA116" s="41"/>
      <c r="BB116" s="41"/>
      <c r="BC116" s="40"/>
      <c r="BD116" s="40"/>
      <c r="BE116" s="42"/>
    </row>
    <row r="117" spans="33:68" x14ac:dyDescent="0.25">
      <c r="AG117" s="14" t="s">
        <v>44</v>
      </c>
      <c r="AH117" s="32">
        <f>AH109*0.2379</f>
        <v>84376.270550000001</v>
      </c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1"/>
      <c r="AW117" s="41"/>
      <c r="AX117" s="40"/>
      <c r="AY117" s="40"/>
      <c r="AZ117" s="42"/>
      <c r="BA117" s="41"/>
      <c r="BB117" s="41"/>
      <c r="BC117" s="40"/>
      <c r="BD117" s="40"/>
      <c r="BE117" s="42"/>
    </row>
    <row r="118" spans="33:68" x14ac:dyDescent="0.25">
      <c r="AG118" s="14" t="s">
        <v>42</v>
      </c>
      <c r="AH118" s="32">
        <f>AH110*0.1999</f>
        <v>195150.17609999998</v>
      </c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3"/>
      <c r="AW118" s="43"/>
      <c r="AX118" s="40"/>
      <c r="AY118" s="40"/>
      <c r="AZ118" s="44"/>
      <c r="BA118" s="43"/>
      <c r="BB118" s="43"/>
      <c r="BC118" s="40"/>
      <c r="BD118" s="40"/>
      <c r="BE118" s="44"/>
    </row>
    <row r="119" spans="33:68" x14ac:dyDescent="0.25">
      <c r="AG119" s="14" t="s">
        <v>162</v>
      </c>
      <c r="AH119" s="32">
        <f>AH111*0.1999</f>
        <v>1630.8508333333332</v>
      </c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1"/>
      <c r="AW119" s="41"/>
      <c r="AX119" s="40"/>
      <c r="AY119" s="40"/>
      <c r="AZ119" s="42"/>
      <c r="BA119" s="41"/>
      <c r="BB119" s="41"/>
      <c r="BC119" s="40"/>
      <c r="BD119" s="40"/>
      <c r="BE119" s="42"/>
    </row>
    <row r="120" spans="33:68" x14ac:dyDescent="0.25">
      <c r="AG120" s="14" t="s">
        <v>206</v>
      </c>
      <c r="AH120" s="32">
        <f>AH112*0.1999</f>
        <v>100.78291666666665</v>
      </c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1"/>
      <c r="AW120" s="41"/>
      <c r="AX120" s="40"/>
      <c r="AY120" s="40"/>
      <c r="AZ120" s="42"/>
      <c r="BA120" s="41"/>
      <c r="BB120" s="41"/>
      <c r="BC120" s="40"/>
      <c r="BD120" s="40"/>
      <c r="BE120" s="42"/>
    </row>
    <row r="121" spans="33:68" x14ac:dyDescent="0.25">
      <c r="AG121" s="14" t="s">
        <v>263</v>
      </c>
      <c r="AH121" s="32">
        <f>AH113*0.2379</f>
        <v>50628.926399999997</v>
      </c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1"/>
      <c r="AW121" s="41"/>
      <c r="AX121" s="40"/>
      <c r="AY121" s="40"/>
      <c r="AZ121" s="42"/>
      <c r="BA121" s="41"/>
      <c r="BB121" s="41"/>
      <c r="BC121" s="40"/>
      <c r="BD121" s="40"/>
      <c r="BE121" s="42"/>
    </row>
    <row r="122" spans="33:68" x14ac:dyDescent="0.25">
      <c r="AG122" s="14" t="s">
        <v>267</v>
      </c>
      <c r="AH122" s="32">
        <f>AH114*0.2379</f>
        <v>26628.622800000001</v>
      </c>
    </row>
    <row r="123" spans="33:68" x14ac:dyDescent="0.25">
      <c r="AG123" s="14" t="s">
        <v>273</v>
      </c>
      <c r="AH123" s="14" t="s">
        <v>312</v>
      </c>
      <c r="AI123" s="12">
        <f>SUM(AH124:AH130)</f>
        <v>246291.36737333328</v>
      </c>
    </row>
    <row r="124" spans="33:68" x14ac:dyDescent="0.25">
      <c r="AG124" s="14" t="s">
        <v>46</v>
      </c>
      <c r="AH124" s="32">
        <f>AH108*(0.0129+0.1654)</f>
        <v>3635.5964333333327</v>
      </c>
      <c r="AI124" s="13" t="s">
        <v>274</v>
      </c>
    </row>
    <row r="125" spans="33:68" x14ac:dyDescent="0.25">
      <c r="AG125" s="14" t="s">
        <v>44</v>
      </c>
      <c r="AH125" s="32">
        <f>AH109*(0.0129+0.1331)</f>
        <v>51781.990333333335</v>
      </c>
    </row>
    <row r="126" spans="33:68" x14ac:dyDescent="0.25">
      <c r="AG126" s="14" t="s">
        <v>42</v>
      </c>
      <c r="AH126" s="32">
        <f>(AV110+BA110+BK110)*(0.0129+0.1243)+(AW110+BB110+BL110)*(0.0129+0.0986)</f>
        <v>119044.30163999998</v>
      </c>
    </row>
    <row r="127" spans="33:68" x14ac:dyDescent="0.25">
      <c r="AG127" s="14" t="s">
        <v>162</v>
      </c>
      <c r="AH127" s="32">
        <f>(AV111+BA111+BL111)*(0.0129+0.153)+(AW111+BB111)*(0.0129+0.1022)</f>
        <v>1044.1181999999999</v>
      </c>
    </row>
    <row r="128" spans="33:68" x14ac:dyDescent="0.25">
      <c r="AG128" s="14" t="s">
        <v>206</v>
      </c>
      <c r="AH128" s="32">
        <f>(AV112+BA112+BK112)*(0.0129+0.1581)+(AW112+BB112+BL112)*(0.0129+0.1085)</f>
        <v>65.934366666666662</v>
      </c>
    </row>
    <row r="129" spans="33:34" x14ac:dyDescent="0.25">
      <c r="AG129" s="14" t="s">
        <v>263</v>
      </c>
      <c r="AH129" s="32">
        <f>AH113*(0.0129+0.139)</f>
        <v>32326.750400000001</v>
      </c>
    </row>
    <row r="130" spans="33:34" x14ac:dyDescent="0.25">
      <c r="AG130" s="14" t="s">
        <v>267</v>
      </c>
      <c r="AH130" s="32">
        <f>AH114*0.343</f>
        <v>38392.675999999999</v>
      </c>
    </row>
  </sheetData>
  <autoFilter ref="A50:BF109">
    <filterColumn colId="3" showButton="0"/>
    <filterColumn colId="4" showButton="0"/>
    <filterColumn colId="5" showButton="0"/>
    <filterColumn colId="6" showButton="0"/>
    <filterColumn colId="10" showButton="0"/>
    <filterColumn colId="11" showButton="0"/>
    <filterColumn colId="12" showButton="0"/>
    <filterColumn colId="35" showButton="0"/>
    <filterColumn colId="37" showButton="0"/>
    <filterColumn colId="38" showButton="0"/>
    <filterColumn colId="39" showButton="0"/>
    <filterColumn colId="40" showButton="0"/>
    <filterColumn colId="43" showButton="0"/>
    <filterColumn colId="44" showButton="0"/>
    <filterColumn colId="45" showButton="0"/>
    <filterColumn colId="46" showButton="0"/>
    <filterColumn colId="48" showButton="0"/>
    <filterColumn colId="49" showButton="0"/>
    <filterColumn colId="50" showButton="0"/>
    <filterColumn colId="51" showButton="0"/>
    <filterColumn colId="53" showButton="0"/>
    <filterColumn colId="54" showButton="0"/>
    <filterColumn colId="55" showButton="0"/>
    <filterColumn colId="56" showButton="0"/>
  </autoFilter>
  <mergeCells count="31">
    <mergeCell ref="BK50:BM50"/>
    <mergeCell ref="BF50:BJ50"/>
    <mergeCell ref="AE50:AE51"/>
    <mergeCell ref="M50:N50"/>
    <mergeCell ref="O50:O51"/>
    <mergeCell ref="P50:P51"/>
    <mergeCell ref="Q50:Q51"/>
    <mergeCell ref="R50:R51"/>
    <mergeCell ref="S50:S51"/>
    <mergeCell ref="T50:T51"/>
    <mergeCell ref="U50:U51"/>
    <mergeCell ref="X50:X51"/>
    <mergeCell ref="AC50:AC51"/>
    <mergeCell ref="V50:V51"/>
    <mergeCell ref="AG50:AG51"/>
    <mergeCell ref="A49:BE49"/>
    <mergeCell ref="AJ50:AK50"/>
    <mergeCell ref="AL50:AP50"/>
    <mergeCell ref="AD50:AD51"/>
    <mergeCell ref="AF50:AF51"/>
    <mergeCell ref="AH50:AH51"/>
    <mergeCell ref="AI50:AI51"/>
    <mergeCell ref="A50:A51"/>
    <mergeCell ref="B50:B51"/>
    <mergeCell ref="C50:C51"/>
    <mergeCell ref="D50:H50"/>
    <mergeCell ref="J50:J51"/>
    <mergeCell ref="K50:L50"/>
    <mergeCell ref="AR50:AU50"/>
    <mergeCell ref="AV50:AZ50"/>
    <mergeCell ref="BA50:BE50"/>
  </mergeCells>
  <conditionalFormatting sqref="AK107 J52:J71 AH64 AG82 AH69:AH70 AG90 AG88 AG94 AG55:AG78 AH61 AG52:AG53 AH77:AH81 AH104:AH106 J81:AU81 AH99:AH102 D52:I106 J73:J106 AI52:AU106 AG97:AG106 K52:AF106">
    <cfRule type="expression" dxfId="2" priority="4" stopIfTrue="1">
      <formula>$C52="nie"</formula>
    </cfRule>
  </conditionalFormatting>
  <conditionalFormatting sqref="J72">
    <cfRule type="expression" dxfId="1" priority="6" stopIfTrue="1">
      <formula>$C73="nie"</formula>
    </cfRule>
  </conditionalFormatting>
  <conditionalFormatting sqref="AK115">
    <cfRule type="expression" dxfId="0" priority="1" stopIfTrue="1">
      <formula>$C115="nie"</formula>
    </cfRule>
  </conditionalFormatting>
  <dataValidations disablePrompts="1" count="1">
    <dataValidation type="list" allowBlank="1" showInputMessage="1" showErrorMessage="1" sqref="C52:C106">
      <formula1>$C$14:$C$15</formula1>
    </dataValidation>
  </dataValidation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2017-04-20T09:13:40Z</dcterms:modified>
</cp:coreProperties>
</file>